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entral\vorlagen\Internetseite\Perso\"/>
    </mc:Choice>
  </mc:AlternateContent>
  <xr:revisionPtr revIDLastSave="0" documentId="13_ncr:1_{863BA369-B0F7-46ED-B46F-B2894FEB172F}" xr6:coauthVersionLast="47" xr6:coauthVersionMax="47" xr10:uidLastSave="{00000000-0000-0000-0000-000000000000}"/>
  <bookViews>
    <workbookView xWindow="-120" yWindow="-120" windowWidth="29040" windowHeight="15840" tabRatio="244" xr2:uid="{00000000-000D-0000-FFFF-FFFF00000000}"/>
  </bookViews>
  <sheets>
    <sheet name="ARBEITSZ" sheetId="1" r:id="rId1"/>
  </sheets>
  <definedNames>
    <definedName name="AnzahlTage">ARBEITSZ!#REF!</definedName>
    <definedName name="_xlnm.Print_Area" localSheetId="0">ARBEITSZ!$A$1:$AI$97</definedName>
    <definedName name="Monat">ARBEITSZ!$AL$30:$AM$41</definedName>
    <definedName name="Monatslänge">ARBEITSZ!$AP$29:$AR$40</definedName>
    <definedName name="Monatsname">ARBEITSZ!$AP$29:$AQ$40</definedName>
    <definedName name="Wochentag">ARBEITSZ!$AM$30:$AN$41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7" i="1" l="1"/>
  <c r="N66" i="1"/>
  <c r="N65" i="1"/>
  <c r="N64" i="1"/>
  <c r="N63" i="1"/>
  <c r="N62" i="1"/>
  <c r="N61" i="1"/>
  <c r="N58" i="1"/>
  <c r="N57" i="1"/>
  <c r="N56" i="1"/>
  <c r="N55" i="1"/>
  <c r="N54" i="1"/>
  <c r="N53" i="1"/>
  <c r="N52" i="1"/>
  <c r="N49" i="1"/>
  <c r="N48" i="1"/>
  <c r="N47" i="1"/>
  <c r="N46" i="1"/>
  <c r="N45" i="1"/>
  <c r="N44" i="1"/>
  <c r="N43" i="1"/>
  <c r="N40" i="1"/>
  <c r="N39" i="1"/>
  <c r="N38" i="1"/>
  <c r="N37" i="1"/>
  <c r="N36" i="1"/>
  <c r="N35" i="1"/>
  <c r="N34" i="1"/>
  <c r="N31" i="1"/>
  <c r="N30" i="1"/>
  <c r="N29" i="1"/>
  <c r="N28" i="1"/>
  <c r="N27" i="1"/>
  <c r="N26" i="1"/>
  <c r="N25" i="1"/>
  <c r="N17" i="1"/>
  <c r="N18" i="1"/>
  <c r="N19" i="1"/>
  <c r="N20" i="1"/>
  <c r="N21" i="1"/>
  <c r="N22" i="1"/>
  <c r="N16" i="1"/>
  <c r="I62" i="1"/>
  <c r="K62" i="1" s="1"/>
  <c r="R62" i="1" s="1"/>
  <c r="J62" i="1"/>
  <c r="Q62" i="1"/>
  <c r="I63" i="1"/>
  <c r="J63" i="1"/>
  <c r="Q63" i="1"/>
  <c r="I64" i="1"/>
  <c r="J64" i="1"/>
  <c r="Q64" i="1"/>
  <c r="I65" i="1"/>
  <c r="J65" i="1"/>
  <c r="Q65" i="1"/>
  <c r="I66" i="1"/>
  <c r="J66" i="1"/>
  <c r="Q66" i="1"/>
  <c r="I67" i="1"/>
  <c r="J67" i="1"/>
  <c r="K67" i="1" s="1"/>
  <c r="R67" i="1" s="1"/>
  <c r="Q67" i="1"/>
  <c r="V85" i="1"/>
  <c r="R85" i="1"/>
  <c r="AJ79" i="1"/>
  <c r="AJ78" i="1"/>
  <c r="AJ77" i="1" s="1"/>
  <c r="AJ16" i="1"/>
  <c r="AJ40" i="1"/>
  <c r="AJ20" i="1" s="1"/>
  <c r="S96" i="1"/>
  <c r="V69" i="1"/>
  <c r="A96" i="1"/>
  <c r="V57" i="1"/>
  <c r="P79" i="1"/>
  <c r="L79" i="1"/>
  <c r="C85" i="1"/>
  <c r="AM16" i="1"/>
  <c r="AM21" i="1" s="1"/>
  <c r="L78" i="1"/>
  <c r="AJ4" i="1"/>
  <c r="AJ5" i="1"/>
  <c r="Y5" i="1"/>
  <c r="AA5" i="1" s="1"/>
  <c r="AU41" i="1"/>
  <c r="AU40" i="1"/>
  <c r="AJ32" i="1"/>
  <c r="V46" i="1"/>
  <c r="V41" i="1"/>
  <c r="AJ3" i="1"/>
  <c r="AJ10" i="1"/>
  <c r="I30" i="1"/>
  <c r="J30" i="1"/>
  <c r="K30" i="1" s="1"/>
  <c r="AM23" i="1"/>
  <c r="AO18" i="1" s="1"/>
  <c r="AN23" i="1"/>
  <c r="AP16" i="1" s="1"/>
  <c r="I53" i="1"/>
  <c r="K53" i="1" s="1"/>
  <c r="R53" i="1" s="1"/>
  <c r="J53" i="1"/>
  <c r="I54" i="1"/>
  <c r="K54" i="1" s="1"/>
  <c r="R54" i="1" s="1"/>
  <c r="J54" i="1"/>
  <c r="I55" i="1"/>
  <c r="J55" i="1"/>
  <c r="K55" i="1" s="1"/>
  <c r="R55" i="1" s="1"/>
  <c r="I56" i="1"/>
  <c r="K56" i="1"/>
  <c r="R56" i="1" s="1"/>
  <c r="J56" i="1"/>
  <c r="I44" i="1"/>
  <c r="J44" i="1"/>
  <c r="K44" i="1" s="1"/>
  <c r="R44" i="1" s="1"/>
  <c r="I45" i="1"/>
  <c r="J45" i="1"/>
  <c r="K45" i="1" s="1"/>
  <c r="R45" i="1" s="1"/>
  <c r="I46" i="1"/>
  <c r="K46" i="1"/>
  <c r="R46" i="1" s="1"/>
  <c r="J46" i="1"/>
  <c r="I47" i="1"/>
  <c r="J47" i="1"/>
  <c r="K47" i="1" s="1"/>
  <c r="R47" i="1" s="1"/>
  <c r="I35" i="1"/>
  <c r="K35" i="1"/>
  <c r="R35" i="1" s="1"/>
  <c r="J35" i="1"/>
  <c r="I36" i="1"/>
  <c r="J36" i="1"/>
  <c r="K36" i="1" s="1"/>
  <c r="R36" i="1" s="1"/>
  <c r="I37" i="1"/>
  <c r="J37" i="1"/>
  <c r="I38" i="1"/>
  <c r="J38" i="1"/>
  <c r="K38" i="1" s="1"/>
  <c r="R38" i="1" s="1"/>
  <c r="I26" i="1"/>
  <c r="J26" i="1"/>
  <c r="K26" i="1" s="1"/>
  <c r="R26" i="1" s="1"/>
  <c r="I27" i="1"/>
  <c r="J27" i="1"/>
  <c r="K27" i="1" s="1"/>
  <c r="R27" i="1" s="1"/>
  <c r="I28" i="1"/>
  <c r="J28" i="1"/>
  <c r="K28" i="1" s="1"/>
  <c r="R28" i="1" s="1"/>
  <c r="I29" i="1"/>
  <c r="K29" i="1" s="1"/>
  <c r="R29" i="1" s="1"/>
  <c r="J29" i="1"/>
  <c r="I18" i="1"/>
  <c r="J18" i="1"/>
  <c r="K18" i="1" s="1"/>
  <c r="R18" i="1" s="1"/>
  <c r="I19" i="1"/>
  <c r="J19" i="1"/>
  <c r="I20" i="1"/>
  <c r="J20" i="1"/>
  <c r="I21" i="1"/>
  <c r="J21" i="1"/>
  <c r="K21" i="1" s="1"/>
  <c r="R21" i="1" s="1"/>
  <c r="AD39" i="1"/>
  <c r="AD33" i="1"/>
  <c r="AD44" i="1"/>
  <c r="AD66" i="1"/>
  <c r="AD77" i="1"/>
  <c r="Q61" i="1"/>
  <c r="R61" i="1" s="1"/>
  <c r="J61" i="1"/>
  <c r="I61" i="1"/>
  <c r="Q58" i="1"/>
  <c r="J58" i="1"/>
  <c r="I58" i="1"/>
  <c r="K58" i="1" s="1"/>
  <c r="R58" i="1" s="1"/>
  <c r="Q57" i="1"/>
  <c r="J57" i="1"/>
  <c r="I57" i="1"/>
  <c r="K57" i="1" s="1"/>
  <c r="R57" i="1" s="1"/>
  <c r="Q56" i="1"/>
  <c r="Q55" i="1"/>
  <c r="Q54" i="1"/>
  <c r="Q53" i="1"/>
  <c r="Q52" i="1"/>
  <c r="J52" i="1"/>
  <c r="I52" i="1"/>
  <c r="K52" i="1"/>
  <c r="R52" i="1" s="1"/>
  <c r="Q49" i="1"/>
  <c r="J49" i="1"/>
  <c r="K49" i="1"/>
  <c r="R49" i="1" s="1"/>
  <c r="I49" i="1"/>
  <c r="Q48" i="1"/>
  <c r="J48" i="1"/>
  <c r="K48" i="1" s="1"/>
  <c r="R48" i="1" s="1"/>
  <c r="I48" i="1"/>
  <c r="Q47" i="1"/>
  <c r="Q46" i="1"/>
  <c r="Q45" i="1"/>
  <c r="Q44" i="1"/>
  <c r="Q43" i="1"/>
  <c r="J43" i="1"/>
  <c r="K43" i="1"/>
  <c r="R43" i="1" s="1"/>
  <c r="I43" i="1"/>
  <c r="Q40" i="1"/>
  <c r="J40" i="1"/>
  <c r="I40" i="1"/>
  <c r="Q39" i="1"/>
  <c r="J39" i="1"/>
  <c r="K39" i="1" s="1"/>
  <c r="R39" i="1" s="1"/>
  <c r="I39" i="1"/>
  <c r="Q38" i="1"/>
  <c r="Q37" i="1"/>
  <c r="Q36" i="1"/>
  <c r="Q35" i="1"/>
  <c r="Q34" i="1"/>
  <c r="J34" i="1"/>
  <c r="I34" i="1"/>
  <c r="K34" i="1" s="1"/>
  <c r="R34" i="1" s="1"/>
  <c r="I25" i="1"/>
  <c r="J25" i="1"/>
  <c r="K25" i="1" s="1"/>
  <c r="R25" i="1" s="1"/>
  <c r="Q25" i="1"/>
  <c r="Q26" i="1"/>
  <c r="Q31" i="1"/>
  <c r="J31" i="1"/>
  <c r="I31" i="1"/>
  <c r="Q30" i="1"/>
  <c r="Q29" i="1"/>
  <c r="Q28" i="1"/>
  <c r="Q27" i="1"/>
  <c r="Q19" i="1"/>
  <c r="Q20" i="1"/>
  <c r="Q21" i="1"/>
  <c r="I22" i="1"/>
  <c r="J22" i="1"/>
  <c r="K22" i="1" s="1"/>
  <c r="R22" i="1" s="1"/>
  <c r="S22" i="1"/>
  <c r="Q22" i="1"/>
  <c r="I16" i="1"/>
  <c r="K16" i="1"/>
  <c r="R16" i="1" s="1"/>
  <c r="J16" i="1"/>
  <c r="Q16" i="1"/>
  <c r="I17" i="1"/>
  <c r="J17" i="1"/>
  <c r="K17" i="1" s="1"/>
  <c r="R17" i="1" s="1"/>
  <c r="Q17" i="1"/>
  <c r="Q18" i="1"/>
  <c r="B44" i="1"/>
  <c r="B45" i="1" s="1"/>
  <c r="B46" i="1" s="1"/>
  <c r="B47" i="1" s="1"/>
  <c r="B48" i="1" s="1"/>
  <c r="B49" i="1" s="1"/>
  <c r="B35" i="1"/>
  <c r="B36" i="1" s="1"/>
  <c r="B37" i="1" s="1"/>
  <c r="B38" i="1" s="1"/>
  <c r="B39" i="1" s="1"/>
  <c r="B40" i="1" s="1"/>
  <c r="C7" i="1"/>
  <c r="S63" i="1"/>
  <c r="T63" i="1"/>
  <c r="S64" i="1"/>
  <c r="T64" i="1"/>
  <c r="S65" i="1"/>
  <c r="T65" i="1"/>
  <c r="S66" i="1"/>
  <c r="T66" i="1"/>
  <c r="S67" i="1"/>
  <c r="T67" i="1"/>
  <c r="AL29" i="1"/>
  <c r="AM33" i="1" s="1"/>
  <c r="AN33" i="1" s="1"/>
  <c r="S61" i="1"/>
  <c r="R68" i="1" s="1"/>
  <c r="T68" i="1" s="1"/>
  <c r="T62" i="1"/>
  <c r="T61" i="1"/>
  <c r="T57" i="1"/>
  <c r="S57" i="1"/>
  <c r="T58" i="1"/>
  <c r="S58" i="1"/>
  <c r="S49" i="1"/>
  <c r="T49" i="1"/>
  <c r="T40" i="1"/>
  <c r="S40" i="1"/>
  <c r="S25" i="1"/>
  <c r="T25" i="1"/>
  <c r="T31" i="1"/>
  <c r="S31" i="1"/>
  <c r="S62" i="1"/>
  <c r="S43" i="1"/>
  <c r="R50" i="1" s="1"/>
  <c r="T43" i="1"/>
  <c r="T34" i="1"/>
  <c r="S34" i="1"/>
  <c r="B26" i="1"/>
  <c r="B27" i="1"/>
  <c r="B28" i="1" s="1"/>
  <c r="B29" i="1" s="1"/>
  <c r="B30" i="1" s="1"/>
  <c r="B31" i="1" s="1"/>
  <c r="X77" i="1"/>
  <c r="X51" i="1"/>
  <c r="X66" i="1"/>
  <c r="X33" i="1"/>
  <c r="AP17" i="1"/>
  <c r="T56" i="1"/>
  <c r="S56" i="1"/>
  <c r="S55" i="1"/>
  <c r="T55" i="1"/>
  <c r="K20" i="1"/>
  <c r="R20" i="1" s="1"/>
  <c r="T20" i="1"/>
  <c r="S53" i="1"/>
  <c r="S54" i="1"/>
  <c r="T54" i="1"/>
  <c r="K40" i="1"/>
  <c r="R40" i="1" s="1"/>
  <c r="K61" i="1"/>
  <c r="T47" i="1"/>
  <c r="S35" i="1"/>
  <c r="T35" i="1"/>
  <c r="T39" i="1"/>
  <c r="S39" i="1"/>
  <c r="R41" i="1" s="1"/>
  <c r="S38" i="1"/>
  <c r="T36" i="1"/>
  <c r="T37" i="1"/>
  <c r="S36" i="1"/>
  <c r="T38" i="1"/>
  <c r="S37" i="1"/>
  <c r="S47" i="1"/>
  <c r="T53" i="1"/>
  <c r="T52" i="1"/>
  <c r="S52" i="1"/>
  <c r="S46" i="1"/>
  <c r="T46" i="1"/>
  <c r="T45" i="1"/>
  <c r="S45" i="1"/>
  <c r="S48" i="1"/>
  <c r="T48" i="1"/>
  <c r="S44" i="1"/>
  <c r="T44" i="1"/>
  <c r="T21" i="1"/>
  <c r="S21" i="1"/>
  <c r="T22" i="1"/>
  <c r="T16" i="1"/>
  <c r="S16" i="1"/>
  <c r="K19" i="1"/>
  <c r="R19" i="1" s="1"/>
  <c r="T18" i="1"/>
  <c r="S18" i="1"/>
  <c r="S20" i="1"/>
  <c r="T17" i="1"/>
  <c r="S17" i="1"/>
  <c r="S29" i="1"/>
  <c r="T29" i="1"/>
  <c r="R30" i="1"/>
  <c r="T28" i="1"/>
  <c r="S27" i="1"/>
  <c r="S28" i="1"/>
  <c r="R32" i="1" s="1"/>
  <c r="Z5" i="1"/>
  <c r="AE6" i="1" s="1"/>
  <c r="T30" i="1"/>
  <c r="S30" i="1"/>
  <c r="T27" i="1"/>
  <c r="S26" i="1"/>
  <c r="T26" i="1"/>
  <c r="S19" i="1"/>
  <c r="T19" i="1"/>
  <c r="K66" i="1"/>
  <c r="R66" i="1"/>
  <c r="K64" i="1"/>
  <c r="R64" i="1" s="1"/>
  <c r="K65" i="1"/>
  <c r="R65" i="1"/>
  <c r="K63" i="1"/>
  <c r="R63" i="1" s="1"/>
  <c r="AM38" i="1"/>
  <c r="AN38" i="1" s="1"/>
  <c r="C5" i="1"/>
  <c r="C63" i="1" s="1"/>
  <c r="C66" i="1" s="1"/>
  <c r="D66" i="1" s="1"/>
  <c r="A66" i="1" s="1"/>
  <c r="K37" i="1"/>
  <c r="R37" i="1" s="1"/>
  <c r="R59" i="1"/>
  <c r="T59" i="1" s="1"/>
  <c r="S68" i="1"/>
  <c r="K31" i="1"/>
  <c r="R31" i="1"/>
  <c r="AP20" i="1"/>
  <c r="AP19" i="1"/>
  <c r="S59" i="1"/>
  <c r="Y32" i="1"/>
  <c r="AM32" i="1"/>
  <c r="AN32" i="1" s="1"/>
  <c r="AJ25" i="1"/>
  <c r="X32" i="1"/>
  <c r="T70" i="1"/>
  <c r="B85" i="1" l="1"/>
  <c r="B87" i="1" s="1"/>
  <c r="M85" i="1" s="1"/>
  <c r="AM30" i="1"/>
  <c r="AN30" i="1" s="1"/>
  <c r="AM37" i="1"/>
  <c r="AN37" i="1" s="1"/>
  <c r="AR32" i="1"/>
  <c r="AR41" i="1" s="1"/>
  <c r="AM41" i="1"/>
  <c r="AN41" i="1" s="1"/>
  <c r="AM40" i="1"/>
  <c r="AN40" i="1" s="1"/>
  <c r="AM36" i="1"/>
  <c r="AN36" i="1" s="1"/>
  <c r="AM39" i="1"/>
  <c r="AN39" i="1" s="1"/>
  <c r="AM35" i="1"/>
  <c r="AN35" i="1" s="1"/>
  <c r="AM31" i="1"/>
  <c r="AN31" i="1" s="1"/>
  <c r="C9" i="1"/>
  <c r="C10" i="1" s="1"/>
  <c r="B11" i="1" s="1"/>
  <c r="C11" i="1" s="1"/>
  <c r="AM34" i="1"/>
  <c r="AN34" i="1" s="1"/>
  <c r="D63" i="1"/>
  <c r="A63" i="1" s="1"/>
  <c r="AF32" i="1"/>
  <c r="T32" i="1"/>
  <c r="S32" i="1"/>
  <c r="T41" i="1"/>
  <c r="S41" i="1"/>
  <c r="AJ26" i="1"/>
  <c r="R23" i="1"/>
  <c r="AE5" i="1"/>
  <c r="AG6" i="1"/>
  <c r="AJ22" i="1"/>
  <c r="AJ21" i="1"/>
  <c r="W32" i="1"/>
  <c r="Y44" i="1"/>
  <c r="Z35" i="1" s="1"/>
  <c r="AJ55" i="1"/>
  <c r="AJ23" i="1" s="1"/>
  <c r="AJ27" i="1" s="1"/>
  <c r="AJ50" i="1"/>
  <c r="T50" i="1"/>
  <c r="S50" i="1"/>
  <c r="AO19" i="1"/>
  <c r="AO20" i="1"/>
  <c r="AP18" i="1"/>
  <c r="AO16" i="1"/>
  <c r="AO17" i="1"/>
  <c r="C87" i="1" l="1"/>
  <c r="L85" i="1" s="1"/>
  <c r="B16" i="1"/>
  <c r="B12" i="1"/>
  <c r="C12" i="1" s="1"/>
  <c r="AB35" i="1"/>
  <c r="AA35" i="1"/>
  <c r="W44" i="1"/>
  <c r="S70" i="1"/>
  <c r="AD32" i="1"/>
  <c r="X44" i="1"/>
  <c r="B17" i="1"/>
  <c r="D17" i="1" s="1"/>
  <c r="A17" i="1" s="1"/>
  <c r="C16" i="1"/>
  <c r="D16" i="1" s="1"/>
  <c r="A16" i="1" s="1"/>
  <c r="AJ52" i="1"/>
  <c r="AJ53" i="1"/>
  <c r="AJ57" i="1"/>
  <c r="AJ56" i="1"/>
  <c r="T23" i="1"/>
  <c r="R72" i="1"/>
  <c r="S23" i="1"/>
  <c r="C17" i="1" l="1"/>
  <c r="S72" i="1"/>
  <c r="W36" i="1" s="1"/>
  <c r="T72" i="1"/>
  <c r="X36" i="1" s="1"/>
  <c r="B18" i="1"/>
  <c r="D18" i="1" s="1"/>
  <c r="A18" i="1" s="1"/>
  <c r="C18" i="1" l="1"/>
  <c r="Y36" i="1"/>
  <c r="B19" i="1"/>
  <c r="C19" i="1" l="1"/>
  <c r="D19" i="1" s="1"/>
  <c r="A19" i="1" s="1"/>
  <c r="Y55" i="1"/>
  <c r="AJ17" i="1"/>
  <c r="Z50" i="1"/>
  <c r="Y38" i="1"/>
  <c r="B20" i="1"/>
  <c r="C20" i="1" s="1"/>
  <c r="D20" i="1" l="1"/>
  <c r="A20" i="1" s="1"/>
  <c r="AJ19" i="1"/>
  <c r="AJ18" i="1"/>
  <c r="B21" i="1"/>
  <c r="C21" i="1"/>
  <c r="AA55" i="1"/>
  <c r="Z55" i="1"/>
  <c r="Y47" i="1"/>
  <c r="X47" i="1" s="1"/>
  <c r="T87" i="1" s="1"/>
  <c r="Y50" i="1"/>
  <c r="Z38" i="1"/>
  <c r="V47" i="1"/>
  <c r="W47" i="1"/>
  <c r="S87" i="1" s="1"/>
  <c r="V39" i="1"/>
  <c r="D21" i="1" l="1"/>
  <c r="A21" i="1" s="1"/>
  <c r="Y54" i="1"/>
  <c r="W50" i="1"/>
  <c r="X50" i="1"/>
  <c r="W39" i="1"/>
  <c r="X39" i="1"/>
  <c r="P87" i="1"/>
  <c r="R87" i="1"/>
  <c r="R89" i="1" s="1"/>
  <c r="C22" i="1"/>
  <c r="C25" i="1" s="1"/>
  <c r="B22" i="1"/>
  <c r="C26" i="1" l="1"/>
  <c r="D25" i="1"/>
  <c r="A25" i="1" s="1"/>
  <c r="D22" i="1"/>
  <c r="A22" i="1" s="1"/>
  <c r="AD50" i="1"/>
  <c r="AF50" i="1"/>
  <c r="AA54" i="1"/>
  <c r="Z54" i="1"/>
  <c r="S89" i="1"/>
  <c r="P89" i="1"/>
  <c r="T89" i="1"/>
  <c r="C27" i="1" l="1"/>
  <c r="D26" i="1"/>
  <c r="A26" i="1" s="1"/>
  <c r="C28" i="1" l="1"/>
  <c r="D27" i="1"/>
  <c r="A27" i="1" s="1"/>
  <c r="C29" i="1" l="1"/>
  <c r="D28" i="1"/>
  <c r="A28" i="1" s="1"/>
  <c r="C30" i="1" l="1"/>
  <c r="D29" i="1"/>
  <c r="A29" i="1" s="1"/>
  <c r="C31" i="1" l="1"/>
  <c r="D30" i="1"/>
  <c r="A30" i="1" s="1"/>
  <c r="C34" i="1" l="1"/>
  <c r="D31" i="1"/>
  <c r="A31" i="1" s="1"/>
  <c r="C35" i="1" l="1"/>
  <c r="D34" i="1"/>
  <c r="A34" i="1" s="1"/>
  <c r="C36" i="1" l="1"/>
  <c r="D35" i="1"/>
  <c r="A35" i="1" s="1"/>
  <c r="C37" i="1" l="1"/>
  <c r="D36" i="1"/>
  <c r="A36" i="1" s="1"/>
  <c r="C38" i="1" l="1"/>
  <c r="D37" i="1"/>
  <c r="A37" i="1" s="1"/>
  <c r="C39" i="1" l="1"/>
  <c r="D38" i="1"/>
  <c r="A38" i="1" s="1"/>
  <c r="C40" i="1" l="1"/>
  <c r="D39" i="1"/>
  <c r="A39" i="1" s="1"/>
  <c r="C43" i="1" l="1"/>
  <c r="D40" i="1"/>
  <c r="A40" i="1" s="1"/>
  <c r="C44" i="1" l="1"/>
  <c r="D43" i="1"/>
  <c r="A43" i="1" s="1"/>
  <c r="C45" i="1" l="1"/>
  <c r="D44" i="1"/>
  <c r="A44" i="1" s="1"/>
  <c r="C46" i="1" l="1"/>
  <c r="D45" i="1"/>
  <c r="A45" i="1" s="1"/>
  <c r="C47" i="1" l="1"/>
  <c r="D46" i="1"/>
  <c r="A46" i="1" s="1"/>
  <c r="C48" i="1" l="1"/>
  <c r="D47" i="1"/>
  <c r="A47" i="1" s="1"/>
  <c r="C49" i="1" l="1"/>
  <c r="D48" i="1"/>
  <c r="A48" i="1" s="1"/>
  <c r="C52" i="1" l="1"/>
  <c r="D49" i="1"/>
  <c r="A49" i="1" s="1"/>
  <c r="C53" i="1" l="1"/>
  <c r="D52" i="1"/>
  <c r="A52" i="1" s="1"/>
  <c r="C54" i="1" l="1"/>
  <c r="D53" i="1"/>
  <c r="A53" i="1" s="1"/>
  <c r="C55" i="1" l="1"/>
  <c r="D54" i="1"/>
  <c r="A54" i="1" s="1"/>
  <c r="C56" i="1" l="1"/>
  <c r="D55" i="1"/>
  <c r="A55" i="1" s="1"/>
  <c r="C57" i="1" l="1"/>
  <c r="D56" i="1"/>
  <c r="A56" i="1" s="1"/>
  <c r="C58" i="1" l="1"/>
  <c r="D57" i="1"/>
  <c r="A57" i="1" s="1"/>
  <c r="C61" i="1" l="1"/>
  <c r="D58" i="1"/>
  <c r="A58" i="1" s="1"/>
  <c r="D61" i="1" l="1"/>
  <c r="A61" i="1" s="1"/>
  <c r="C64" i="1"/>
  <c r="C62" i="1"/>
  <c r="C65" i="1" l="1"/>
  <c r="D65" i="1" s="1"/>
  <c r="A65" i="1" s="1"/>
  <c r="D62" i="1"/>
  <c r="A62" i="1" s="1"/>
  <c r="C67" i="1"/>
  <c r="D67" i="1" s="1"/>
  <c r="A67" i="1" s="1"/>
  <c r="D64" i="1"/>
  <c r="A64" i="1" s="1"/>
</calcChain>
</file>

<file path=xl/sharedStrings.xml><?xml version="1.0" encoding="utf-8"?>
<sst xmlns="http://schemas.openxmlformats.org/spreadsheetml/2006/main" count="120" uniqueCount="94">
  <si>
    <t xml:space="preserve">für den Monat </t>
  </si>
  <si>
    <t>Antahl der Tage</t>
  </si>
  <si>
    <t>(Monat)</t>
  </si>
  <si>
    <t>(Jahr)</t>
  </si>
  <si>
    <t>Zahl des Monats:</t>
  </si>
  <si>
    <t>Zahl des Monats-</t>
  </si>
  <si>
    <t>Arbeitszeit</t>
  </si>
  <si>
    <t>anfangs:</t>
  </si>
  <si>
    <t>Wochentag:</t>
  </si>
  <si>
    <t>Beginn</t>
  </si>
  <si>
    <t>Ende</t>
  </si>
  <si>
    <t>Std.</t>
  </si>
  <si>
    <t>Min.</t>
  </si>
  <si>
    <t>in Minuten</t>
  </si>
  <si>
    <t>Min</t>
  </si>
  <si>
    <t>v.H.</t>
  </si>
  <si>
    <t>Stunden:</t>
  </si>
  <si>
    <t>Minuten:</t>
  </si>
  <si>
    <t>regelm.:</t>
  </si>
  <si>
    <t>Namen:</t>
  </si>
  <si>
    <t>Monatsname</t>
  </si>
  <si>
    <t>Monatslänge</t>
  </si>
  <si>
    <t>Monat</t>
  </si>
  <si>
    <t>Wochentag</t>
  </si>
  <si>
    <t>April</t>
  </si>
  <si>
    <t>August</t>
  </si>
  <si>
    <t>Dezember</t>
  </si>
  <si>
    <t>Februar</t>
  </si>
  <si>
    <t>Januar</t>
  </si>
  <si>
    <t>Juli</t>
  </si>
  <si>
    <t>Juni</t>
  </si>
  <si>
    <t>Mai</t>
  </si>
  <si>
    <t>März</t>
  </si>
  <si>
    <t>November</t>
  </si>
  <si>
    <t>Oktober</t>
  </si>
  <si>
    <t>September</t>
  </si>
  <si>
    <t xml:space="preserve">Ist-Stunden / Monat:  </t>
  </si>
  <si>
    <t xml:space="preserve">Name: </t>
  </si>
  <si>
    <t>vertragliche WoArbeitszeit:</t>
  </si>
  <si>
    <t>im lfd. Monat</t>
  </si>
  <si>
    <t>Pausen</t>
  </si>
  <si>
    <t>in Min.</t>
  </si>
  <si>
    <t>Summe ohne</t>
  </si>
  <si>
    <t>Unter-
brechung</t>
  </si>
  <si>
    <t>anrechenbare</t>
  </si>
  <si>
    <t>Unterbr.</t>
  </si>
  <si>
    <t>tatsächliche Arbeitszeit</t>
  </si>
  <si>
    <t>Tag</t>
  </si>
  <si>
    <t>vereinbarter Monatsdurchschnitt in Std.:</t>
  </si>
  <si>
    <t>durchschnittliche Monats-Soll-Stunden:</t>
  </si>
  <si>
    <t>Monats-Ist-Stunden:</t>
  </si>
  <si>
    <t xml:space="preserve">Monats-Soll: </t>
  </si>
  <si>
    <t xml:space="preserve"> Arbeitszeitaufzeichnung </t>
  </si>
  <si>
    <t>Monatsabschluss:</t>
  </si>
  <si>
    <t>anrechenbare
Arbeitszeit</t>
  </si>
  <si>
    <t>Mindestlohn:</t>
  </si>
  <si>
    <t>1)</t>
  </si>
  <si>
    <t>Soll + 50 v.H.:</t>
  </si>
  <si>
    <t>2)</t>
  </si>
  <si>
    <r>
      <t>A u f b e w a h r u n g s z e i t:   m i n d e s t e n s  2  J a h r e</t>
    </r>
    <r>
      <rPr>
        <vertAlign val="superscript"/>
        <sz val="9"/>
        <rFont val="Tahoma"/>
        <family val="2"/>
      </rPr>
      <t>3)</t>
    </r>
  </si>
  <si>
    <r>
      <rPr>
        <vertAlign val="superscript"/>
        <sz val="9"/>
        <rFont val="Tahoma"/>
        <family val="2"/>
      </rPr>
      <t>3)</t>
    </r>
    <r>
      <rPr>
        <i/>
        <sz val="8"/>
        <rFont val="Tahoma"/>
        <family val="2"/>
      </rPr>
      <t xml:space="preserve"> bei geringfügiger Beschäftigung i.S.d. § 8 Abs. 1 SGB IV</t>
    </r>
  </si>
  <si>
    <t>Anstellungsträger:</t>
  </si>
  <si>
    <t>Differenz:</t>
  </si>
  <si>
    <r>
      <t>Beginn</t>
    </r>
    <r>
      <rPr>
        <b/>
        <vertAlign val="superscript"/>
        <sz val="9"/>
        <rFont val="Tahoma"/>
        <family val="2"/>
      </rPr>
      <t>1)</t>
    </r>
  </si>
  <si>
    <r>
      <t>Ende</t>
    </r>
    <r>
      <rPr>
        <b/>
        <vertAlign val="superscript"/>
        <sz val="9"/>
        <rFont val="Tahoma"/>
        <family val="2"/>
      </rPr>
      <t>1)</t>
    </r>
  </si>
  <si>
    <r>
      <t>Pausen</t>
    </r>
    <r>
      <rPr>
        <b/>
        <vertAlign val="superscript"/>
        <sz val="9"/>
        <rFont val="Tahoma"/>
        <family val="2"/>
      </rPr>
      <t>2)</t>
    </r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</si>
  <si>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</si>
  <si>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</si>
  <si>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</si>
  <si>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</si>
  <si>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</si>
  <si>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</si>
  <si>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</si>
  <si>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</si>
  <si>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</si>
  <si>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(11)</t>
  </si>
  <si>
    <t xml:space="preserve">ja: </t>
  </si>
  <si>
    <t xml:space="preserve">nein: </t>
  </si>
  <si>
    <t>ohne AZ-Konto</t>
  </si>
  <si>
    <t>Arbeitszeitkonto vereinbart (X)</t>
  </si>
  <si>
    <r>
      <t>(6)</t>
    </r>
    <r>
      <rPr>
        <b/>
        <vertAlign val="superscript"/>
        <sz val="9"/>
        <rFont val="Tahoma"/>
        <family val="2"/>
      </rPr>
      <t>1)</t>
    </r>
  </si>
  <si>
    <t>=</t>
  </si>
  <si>
    <t>Wochenarbeitszeit (v.H. der Vollbeschäftigten):</t>
  </si>
  <si>
    <r>
      <t xml:space="preserve"> Arbeitszeitkonto </t>
    </r>
    <r>
      <rPr>
        <sz val="12"/>
        <rFont val="Tahoma"/>
        <family val="2"/>
      </rPr>
      <t xml:space="preserve">  </t>
    </r>
    <r>
      <rPr>
        <i/>
        <sz val="9"/>
        <rFont val="Tahoma"/>
        <family val="2"/>
      </rPr>
      <t>(§ 2 Abs. 2 Mindestlohngesetz)</t>
    </r>
  </si>
  <si>
    <t xml:space="preserve">der Mitarbeiterin/des Mitarbeiters: </t>
  </si>
  <si>
    <t>Übertrag aus dem Monat</t>
  </si>
  <si>
    <t>Buchung aus dem lfd. Monat</t>
  </si>
  <si>
    <t>Aktueller Kontostand</t>
  </si>
  <si>
    <t xml:space="preserve">Überschreitet die Arbeitszeit 6 Stunden (bzw. 9 Stunden), ist sie durch Ruhepausen von mindestens 30 Minuten (bzw. 45 Minuten) Dauer insgesamt zu unterbrechen (§ 4 ArbZG). </t>
  </si>
  <si>
    <r>
      <t xml:space="preserve">Bei Urlaub, Wochenfeiertag oder krankheits-
bedingter Arbeitsunfähigkeit:
Soll-Arbeitszeit (Beginn, Ende) für den jeweiligen </t>
    </r>
    <r>
      <rPr>
        <b/>
        <sz val="8"/>
        <rFont val="Tahoma"/>
        <family val="2"/>
      </rPr>
      <t>planmäßigen</t>
    </r>
    <r>
      <rPr>
        <sz val="8"/>
        <rFont val="Tahoma"/>
        <family val="2"/>
      </rPr>
      <t xml:space="preserve"> Arbeitstag eintragen und mit „</t>
    </r>
    <r>
      <rPr>
        <b/>
        <sz val="8"/>
        <rFont val="Tahoma"/>
        <family val="2"/>
      </rPr>
      <t>U</t>
    </r>
    <r>
      <rPr>
        <sz val="8"/>
        <rFont val="Tahoma"/>
        <family val="2"/>
      </rPr>
      <t>” (Urlaub), „</t>
    </r>
    <r>
      <rPr>
        <b/>
        <sz val="8"/>
        <rFont val="Tahoma"/>
        <family val="2"/>
      </rPr>
      <t>F</t>
    </r>
    <r>
      <rPr>
        <sz val="8"/>
        <rFont val="Tahoma"/>
        <family val="2"/>
      </rPr>
      <t>” (Feiertag), „</t>
    </r>
    <r>
      <rPr>
        <b/>
        <sz val="8"/>
        <rFont val="Tahoma"/>
        <family val="2"/>
      </rPr>
      <t>K</t>
    </r>
    <r>
      <rPr>
        <sz val="8"/>
        <rFont val="Tahoma"/>
        <family val="2"/>
      </rPr>
      <t xml:space="preserve">” (krank) in </t>
    </r>
    <r>
      <rPr>
        <b/>
        <sz val="8"/>
        <rFont val="Tahoma"/>
        <family val="2"/>
      </rPr>
      <t>Spalte (6)</t>
    </r>
    <r>
      <rPr>
        <sz val="8"/>
        <rFont val="Tahoma"/>
        <family val="2"/>
      </rPr>
      <t xml:space="preserve"> vermerken. </t>
    </r>
  </si>
  <si>
    <t xml:space="preserve">für den Monatschluss: </t>
  </si>
  <si>
    <t>(+/-)</t>
  </si>
  <si>
    <t>zum Ende des Folgemonats auszuzahlen: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</si>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</sst>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0"/>
    <numFmt numFmtId="165" formatCode="0.000"/>
    <numFmt numFmtId="166" formatCode="0.00&quot; Stunden&quot;"/>
    <numFmt numFmtId="167" formatCode="00&quot; Std.&quot;"/>
    <numFmt numFmtId="168" formatCode="00&quot; Std.)&quot;"/>
    <numFmt numFmtId="169" formatCode="0.00&quot; Std.&quot;"/>
    <numFmt numFmtId="170" formatCode="0&quot; Std.&quot;"/>
    <numFmt numFmtId="171" formatCode="0&quot; Min.&quot;"/>
    <numFmt numFmtId="172" formatCode="00&quot; Min.&quot;"/>
    <numFmt numFmtId="173" formatCode="0.00&quot; v.H.&quot;"/>
    <numFmt numFmtId="174" formatCode="00&quot; /&quot;"/>
    <numFmt numFmtId="175" formatCode="0.00&quot;  &quot;"/>
  </numFmts>
  <fonts count="26" x14ac:knownFonts="1">
    <font>
      <sz val="10"/>
      <name val="MS Sans Serif"/>
    </font>
    <font>
      <u/>
      <sz val="12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8.5"/>
      <color indexed="12"/>
      <name val="Tahoma"/>
      <family val="2"/>
    </font>
    <font>
      <u/>
      <sz val="8"/>
      <name val="Tahoma"/>
      <family val="2"/>
    </font>
    <font>
      <sz val="9"/>
      <name val="Tahoma"/>
      <family val="2"/>
    </font>
    <font>
      <b/>
      <i/>
      <vertAlign val="superscript"/>
      <sz val="9"/>
      <name val="Tahoma"/>
      <family val="2"/>
    </font>
    <font>
      <b/>
      <sz val="8"/>
      <name val="Tahoma"/>
      <family val="2"/>
    </font>
    <font>
      <i/>
      <sz val="8"/>
      <name val="Tahoma"/>
      <family val="2"/>
    </font>
    <font>
      <b/>
      <sz val="11"/>
      <name val="Tahoma"/>
      <family val="2"/>
    </font>
    <font>
      <i/>
      <sz val="12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b/>
      <vertAlign val="superscript"/>
      <sz val="9"/>
      <name val="Tahoma"/>
      <family val="2"/>
    </font>
    <font>
      <sz val="7"/>
      <name val="Tahoma"/>
      <family val="2"/>
    </font>
    <font>
      <sz val="12"/>
      <name val="Tahoma"/>
      <family val="2"/>
    </font>
    <font>
      <i/>
      <sz val="9"/>
      <name val="Tahoma"/>
      <family val="2"/>
    </font>
    <font>
      <b/>
      <i/>
      <sz val="10"/>
      <color rgb="FF0033CC"/>
      <name val="Tahoma"/>
      <family val="2"/>
    </font>
    <font>
      <b/>
      <sz val="10"/>
      <color rgb="FFC00000"/>
      <name val="Tahoma"/>
      <family val="2"/>
    </font>
    <font>
      <b/>
      <sz val="10"/>
      <color rgb="FF0033CC"/>
      <name val="Tahoma"/>
      <family val="2"/>
    </font>
    <font>
      <b/>
      <i/>
      <sz val="8"/>
      <color rgb="FFC00000"/>
      <name val="Tahoma"/>
      <family val="2"/>
    </font>
    <font>
      <b/>
      <i/>
      <sz val="10"/>
      <color rgb="FFC00000"/>
      <name val="Tahoma"/>
      <family val="2"/>
    </font>
    <font>
      <b/>
      <i/>
      <sz val="10"/>
      <color rgb="FF0033CC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362">
    <xf numFmtId="0" fontId="0" fillId="0" borderId="0" xfId="0"/>
    <xf numFmtId="1" fontId="1" fillId="0" borderId="0" xfId="0" quotePrefix="1" applyNumberFormat="1" applyFont="1" applyAlignment="1" applyProtection="1">
      <alignment vertical="center"/>
      <protection hidden="1"/>
    </xf>
    <xf numFmtId="1" fontId="2" fillId="2" borderId="0" xfId="0" applyNumberFormat="1" applyFont="1" applyFill="1" applyAlignment="1" applyProtection="1">
      <alignment horizontal="left"/>
      <protection hidden="1"/>
    </xf>
    <xf numFmtId="1" fontId="2" fillId="2" borderId="0" xfId="0" applyNumberFormat="1" applyFont="1" applyFill="1" applyAlignment="1" applyProtection="1">
      <alignment horizontal="center"/>
      <protection hidden="1"/>
    </xf>
    <xf numFmtId="1" fontId="3" fillId="0" borderId="0" xfId="0" applyNumberFormat="1" applyFont="1" applyProtection="1">
      <protection hidden="1"/>
    </xf>
    <xf numFmtId="1" fontId="3" fillId="2" borderId="0" xfId="0" applyNumberFormat="1" applyFont="1" applyFill="1" applyProtection="1">
      <protection hidden="1"/>
    </xf>
    <xf numFmtId="1" fontId="3" fillId="3" borderId="0" xfId="0" applyNumberFormat="1" applyFont="1" applyFill="1" applyAlignment="1" applyProtection="1">
      <alignment horizontal="center"/>
      <protection hidden="1"/>
    </xf>
    <xf numFmtId="0" fontId="3" fillId="3" borderId="1" xfId="0" applyNumberFormat="1" applyFont="1" applyFill="1" applyBorder="1" applyProtection="1">
      <protection hidden="1"/>
    </xf>
    <xf numFmtId="1" fontId="3" fillId="3" borderId="0" xfId="0" applyNumberFormat="1" applyFont="1" applyFill="1" applyProtection="1">
      <protection hidden="1"/>
    </xf>
    <xf numFmtId="1" fontId="3" fillId="3" borderId="0" xfId="0" applyNumberFormat="1" applyFont="1" applyFill="1" applyAlignment="1" applyProtection="1">
      <alignment horizontal="left"/>
      <protection hidden="1"/>
    </xf>
    <xf numFmtId="1" fontId="2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1" fontId="2" fillId="0" borderId="0" xfId="0" applyNumberFormat="1" applyFont="1" applyAlignment="1" applyProtection="1">
      <alignment vertical="center"/>
      <protection hidden="1"/>
    </xf>
    <xf numFmtId="1" fontId="2" fillId="2" borderId="0" xfId="0" applyNumberFormat="1" applyFont="1" applyFill="1" applyAlignment="1" applyProtection="1">
      <alignment horizontal="left" vertical="center"/>
      <protection hidden="1"/>
    </xf>
    <xf numFmtId="1" fontId="2" fillId="2" borderId="0" xfId="0" applyNumberFormat="1" applyFont="1" applyFill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horizontal="right" vertical="center"/>
      <protection hidden="1"/>
    </xf>
    <xf numFmtId="1" fontId="3" fillId="2" borderId="0" xfId="0" applyNumberFormat="1" applyFont="1" applyFill="1" applyAlignment="1" applyProtection="1">
      <alignment vertical="center"/>
      <protection hidden="1"/>
    </xf>
    <xf numFmtId="1" fontId="2" fillId="0" borderId="0" xfId="0" applyNumberFormat="1" applyFont="1" applyBorder="1" applyAlignment="1" applyProtection="1">
      <alignment horizontal="right" vertical="center"/>
      <protection hidden="1"/>
    </xf>
    <xf numFmtId="1" fontId="3" fillId="3" borderId="0" xfId="0" applyNumberFormat="1" applyFont="1" applyFill="1" applyAlignment="1" applyProtection="1">
      <alignment horizontal="center" vertical="center"/>
      <protection hidden="1"/>
    </xf>
    <xf numFmtId="0" fontId="3" fillId="3" borderId="1" xfId="0" applyNumberFormat="1" applyFont="1" applyFill="1" applyBorder="1" applyAlignment="1" applyProtection="1">
      <alignment vertical="center"/>
      <protection hidden="1"/>
    </xf>
    <xf numFmtId="1" fontId="3" fillId="3" borderId="0" xfId="0" applyNumberFormat="1" applyFont="1" applyFill="1" applyAlignment="1" applyProtection="1">
      <alignment vertical="center"/>
      <protection hidden="1"/>
    </xf>
    <xf numFmtId="1" fontId="3" fillId="3" borderId="0" xfId="0" applyNumberFormat="1" applyFont="1" applyFill="1" applyAlignment="1" applyProtection="1">
      <alignment horizontal="left" vertical="center"/>
      <protection hidden="1"/>
    </xf>
    <xf numFmtId="1" fontId="2" fillId="0" borderId="0" xfId="0" applyNumberFormat="1" applyFont="1" applyAlignment="1" applyProtection="1">
      <alignment horizontal="center" vertical="top"/>
      <protection hidden="1"/>
    </xf>
    <xf numFmtId="1" fontId="2" fillId="0" borderId="0" xfId="0" applyNumberFormat="1" applyFont="1" applyBorder="1" applyProtection="1">
      <protection hidden="1"/>
    </xf>
    <xf numFmtId="0" fontId="6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1" fontId="3" fillId="3" borderId="1" xfId="0" applyNumberFormat="1" applyFont="1" applyFill="1" applyBorder="1" applyProtection="1">
      <protection hidden="1"/>
    </xf>
    <xf numFmtId="1" fontId="2" fillId="2" borderId="0" xfId="0" applyNumberFormat="1" applyFont="1" applyFill="1" applyAlignment="1" applyProtection="1">
      <alignment horizontal="left" vertical="top"/>
      <protection hidden="1"/>
    </xf>
    <xf numFmtId="1" fontId="5" fillId="2" borderId="0" xfId="0" applyNumberFormat="1" applyFont="1" applyFill="1" applyAlignment="1" applyProtection="1">
      <alignment horizontal="center" vertical="top"/>
      <protection hidden="1"/>
    </xf>
    <xf numFmtId="1" fontId="2" fillId="0" borderId="0" xfId="0" applyNumberFormat="1" applyFont="1" applyAlignment="1" applyProtection="1">
      <alignment horizontal="centerContinuous" vertical="top"/>
      <protection hidden="1"/>
    </xf>
    <xf numFmtId="1" fontId="7" fillId="0" borderId="0" xfId="0" quotePrefix="1" applyNumberFormat="1" applyFont="1" applyAlignment="1" applyProtection="1">
      <alignment horizontal="centerContinuous" vertical="top"/>
      <protection hidden="1"/>
    </xf>
    <xf numFmtId="1" fontId="3" fillId="2" borderId="0" xfId="0" applyNumberFormat="1" applyFont="1" applyFill="1" applyAlignment="1" applyProtection="1">
      <alignment horizontal="centerContinuous"/>
      <protection hidden="1"/>
    </xf>
    <xf numFmtId="1" fontId="5" fillId="0" borderId="0" xfId="0" applyNumberFormat="1" applyFont="1" applyBorder="1" applyProtection="1">
      <protection hidden="1"/>
    </xf>
    <xf numFmtId="1" fontId="2" fillId="0" borderId="2" xfId="0" applyNumberFormat="1" applyFont="1" applyBorder="1" applyProtection="1">
      <protection hidden="1"/>
    </xf>
    <xf numFmtId="1" fontId="2" fillId="2" borderId="0" xfId="0" quotePrefix="1" applyNumberFormat="1" applyFont="1" applyFill="1" applyBorder="1" applyAlignment="1" applyProtection="1">
      <alignment horizontal="left" vertical="top"/>
      <protection hidden="1"/>
    </xf>
    <xf numFmtId="1" fontId="2" fillId="2" borderId="0" xfId="0" applyNumberFormat="1" applyFont="1" applyFill="1" applyBorder="1" applyAlignment="1" applyProtection="1">
      <alignment horizontal="center" vertical="top"/>
      <protection hidden="1"/>
    </xf>
    <xf numFmtId="1" fontId="2" fillId="0" borderId="3" xfId="0" applyNumberFormat="1" applyFont="1" applyBorder="1" applyProtection="1">
      <protection hidden="1"/>
    </xf>
    <xf numFmtId="1" fontId="2" fillId="2" borderId="3" xfId="0" applyNumberFormat="1" applyFont="1" applyFill="1" applyBorder="1" applyProtection="1">
      <protection hidden="1"/>
    </xf>
    <xf numFmtId="1" fontId="2" fillId="0" borderId="2" xfId="0" applyNumberFormat="1" applyFont="1" applyBorder="1" applyAlignment="1" applyProtection="1">
      <alignment horizontal="centerContinuous"/>
      <protection hidden="1"/>
    </xf>
    <xf numFmtId="1" fontId="2" fillId="0" borderId="4" xfId="0" applyNumberFormat="1" applyFont="1" applyBorder="1" applyAlignment="1" applyProtection="1">
      <alignment horizontal="centerContinuous"/>
      <protection hidden="1"/>
    </xf>
    <xf numFmtId="1" fontId="2" fillId="0" borderId="0" xfId="0" applyNumberFormat="1" applyFont="1" applyFill="1" applyBorder="1" applyAlignment="1" applyProtection="1">
      <alignment horizontal="centerContinuous"/>
      <protection hidden="1"/>
    </xf>
    <xf numFmtId="1" fontId="2" fillId="2" borderId="0" xfId="0" applyNumberFormat="1" applyFont="1" applyFill="1" applyBorder="1" applyAlignment="1" applyProtection="1">
      <alignment horizontal="centerContinuous"/>
      <protection hidden="1"/>
    </xf>
    <xf numFmtId="1" fontId="2" fillId="0" borderId="0" xfId="0" applyNumberFormat="1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1" fontId="2" fillId="3" borderId="0" xfId="0" applyNumberFormat="1" applyFont="1" applyFill="1" applyAlignment="1" applyProtection="1">
      <alignment horizontal="left"/>
      <protection hidden="1"/>
    </xf>
    <xf numFmtId="1" fontId="2" fillId="3" borderId="0" xfId="0" applyNumberFormat="1" applyFont="1" applyFill="1" applyAlignment="1" applyProtection="1">
      <alignment horizontal="center"/>
      <protection hidden="1"/>
    </xf>
    <xf numFmtId="1" fontId="2" fillId="3" borderId="0" xfId="0" applyNumberFormat="1" applyFont="1" applyFill="1" applyProtection="1">
      <protection hidden="1"/>
    </xf>
    <xf numFmtId="1" fontId="2" fillId="0" borderId="5" xfId="0" applyNumberFormat="1" applyFont="1" applyBorder="1" applyAlignment="1" applyProtection="1">
      <alignment horizontal="centerContinuous" vertical="top"/>
      <protection hidden="1"/>
    </xf>
    <xf numFmtId="1" fontId="2" fillId="2" borderId="0" xfId="0" applyNumberFormat="1" applyFont="1" applyFill="1" applyBorder="1" applyAlignment="1" applyProtection="1">
      <alignment horizontal="centerContinuous" vertical="top"/>
      <protection hidden="1"/>
    </xf>
    <xf numFmtId="1" fontId="2" fillId="0" borderId="0" xfId="0" applyNumberFormat="1" applyFont="1" applyBorder="1" applyAlignment="1" applyProtection="1">
      <alignment horizontal="centerContinuous" vertical="top"/>
      <protection hidden="1"/>
    </xf>
    <xf numFmtId="1" fontId="2" fillId="2" borderId="0" xfId="0" applyNumberFormat="1" applyFont="1" applyFill="1" applyAlignment="1" applyProtection="1">
      <alignment vertical="top"/>
      <protection hidden="1"/>
    </xf>
    <xf numFmtId="1" fontId="2" fillId="0" borderId="0" xfId="0" applyNumberFormat="1" applyFont="1" applyFill="1" applyBorder="1" applyAlignment="1" applyProtection="1">
      <alignment horizontal="centerContinuous" vertical="top"/>
      <protection hidden="1"/>
    </xf>
    <xf numFmtId="1" fontId="2" fillId="0" borderId="0" xfId="0" applyNumberFormat="1" applyFont="1" applyFill="1" applyBorder="1" applyAlignment="1" applyProtection="1">
      <alignment horizontal="centerContinuous" vertical="top" wrapText="1"/>
      <protection hidden="1"/>
    </xf>
    <xf numFmtId="1" fontId="2" fillId="0" borderId="5" xfId="0" applyNumberFormat="1" applyFont="1" applyBorder="1" applyAlignment="1" applyProtection="1">
      <alignment vertical="top"/>
      <protection hidden="1"/>
    </xf>
    <xf numFmtId="1" fontId="2" fillId="0" borderId="0" xfId="0" applyNumberFormat="1" applyFont="1" applyAlignment="1" applyProtection="1">
      <alignment vertical="top"/>
      <protection hidden="1"/>
    </xf>
    <xf numFmtId="1" fontId="2" fillId="0" borderId="0" xfId="0" applyNumberFormat="1" applyFont="1" applyBorder="1" applyAlignment="1" applyProtection="1">
      <alignment vertical="top"/>
      <protection hidden="1"/>
    </xf>
    <xf numFmtId="1" fontId="9" fillId="0" borderId="0" xfId="0" applyNumberFormat="1" applyFont="1" applyFill="1" applyBorder="1" applyAlignment="1" applyProtection="1">
      <alignment horizontal="right" vertical="top"/>
      <protection hidden="1"/>
    </xf>
    <xf numFmtId="1" fontId="2" fillId="2" borderId="6" xfId="0" applyNumberFormat="1" applyFont="1" applyFill="1" applyBorder="1" applyAlignment="1" applyProtection="1">
      <alignment horizontal="left"/>
      <protection hidden="1"/>
    </xf>
    <xf numFmtId="1" fontId="2" fillId="2" borderId="6" xfId="0" applyNumberFormat="1" applyFont="1" applyFill="1" applyBorder="1" applyAlignment="1" applyProtection="1">
      <alignment horizontal="center"/>
      <protection hidden="1"/>
    </xf>
    <xf numFmtId="1" fontId="2" fillId="2" borderId="5" xfId="0" applyNumberFormat="1" applyFont="1" applyFill="1" applyBorder="1" applyAlignment="1" applyProtection="1">
      <alignment vertical="top"/>
      <protection hidden="1"/>
    </xf>
    <xf numFmtId="1" fontId="2" fillId="2" borderId="7" xfId="0" applyNumberFormat="1" applyFont="1" applyFill="1" applyBorder="1" applyAlignment="1" applyProtection="1">
      <alignment horizontal="center"/>
      <protection hidden="1"/>
    </xf>
    <xf numFmtId="1" fontId="2" fillId="0" borderId="5" xfId="0" applyNumberFormat="1" applyFont="1" applyBorder="1" applyAlignment="1" applyProtection="1">
      <alignment vertical="center"/>
      <protection hidden="1"/>
    </xf>
    <xf numFmtId="1" fontId="2" fillId="0" borderId="8" xfId="0" applyNumberFormat="1" applyFont="1" applyBorder="1" applyAlignment="1" applyProtection="1">
      <alignment vertical="center"/>
      <protection hidden="1"/>
    </xf>
    <xf numFmtId="1" fontId="2" fillId="0" borderId="0" xfId="0" applyNumberFormat="1" applyFont="1" applyBorder="1" applyAlignment="1" applyProtection="1">
      <alignment vertical="center"/>
      <protection hidden="1"/>
    </xf>
    <xf numFmtId="1" fontId="2" fillId="2" borderId="5" xfId="0" quotePrefix="1" applyNumberFormat="1" applyFont="1" applyFill="1" applyBorder="1" applyAlignment="1" applyProtection="1">
      <alignment horizontal="left" vertical="top"/>
      <protection hidden="1"/>
    </xf>
    <xf numFmtId="1" fontId="2" fillId="2" borderId="8" xfId="0" applyNumberFormat="1" applyFont="1" applyFill="1" applyBorder="1" applyAlignment="1" applyProtection="1">
      <alignment horizontal="left" vertical="top"/>
      <protection hidden="1"/>
    </xf>
    <xf numFmtId="1" fontId="2" fillId="0" borderId="0" xfId="0" applyNumberFormat="1" applyFont="1" applyFill="1" applyBorder="1" applyAlignment="1" applyProtection="1">
      <alignment horizontal="left" vertical="top"/>
      <protection hidden="1"/>
    </xf>
    <xf numFmtId="1" fontId="2" fillId="0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1" fontId="2" fillId="2" borderId="8" xfId="0" applyNumberFormat="1" applyFont="1" applyFill="1" applyBorder="1" applyAlignment="1" applyProtection="1">
      <alignment horizontal="center" vertical="top"/>
      <protection hidden="1"/>
    </xf>
    <xf numFmtId="1" fontId="2" fillId="0" borderId="8" xfId="0" applyNumberFormat="1" applyFont="1" applyBorder="1" applyAlignment="1" applyProtection="1">
      <alignment horizontal="centerContinuous" vertical="top"/>
      <protection hidden="1"/>
    </xf>
    <xf numFmtId="1" fontId="2" fillId="0" borderId="0" xfId="0" applyNumberFormat="1" applyFont="1" applyFill="1" applyBorder="1" applyAlignment="1" applyProtection="1">
      <alignment horizontal="center" vertical="top"/>
      <protection hidden="1"/>
    </xf>
    <xf numFmtId="1" fontId="3" fillId="0" borderId="0" xfId="0" applyNumberFormat="1" applyFont="1" applyFill="1" applyBorder="1" applyProtection="1">
      <protection hidden="1"/>
    </xf>
    <xf numFmtId="1" fontId="2" fillId="3" borderId="0" xfId="0" applyNumberFormat="1" applyFont="1" applyFill="1" applyAlignment="1" applyProtection="1">
      <alignment horizontal="left" vertical="top"/>
      <protection hidden="1"/>
    </xf>
    <xf numFmtId="1" fontId="2" fillId="3" borderId="0" xfId="0" applyNumberFormat="1" applyFont="1" applyFill="1" applyAlignment="1" applyProtection="1">
      <alignment horizontal="center" vertical="top"/>
      <protection hidden="1"/>
    </xf>
    <xf numFmtId="1" fontId="2" fillId="3" borderId="0" xfId="0" applyNumberFormat="1" applyFont="1" applyFill="1" applyAlignment="1" applyProtection="1">
      <alignment vertical="top"/>
      <protection hidden="1"/>
    </xf>
    <xf numFmtId="1" fontId="2" fillId="0" borderId="9" xfId="0" applyNumberFormat="1" applyFont="1" applyBorder="1" applyAlignment="1" applyProtection="1">
      <alignment vertical="center"/>
      <protection hidden="1"/>
    </xf>
    <xf numFmtId="0" fontId="3" fillId="3" borderId="0" xfId="0" quotePrefix="1" applyFont="1" applyFill="1" applyAlignment="1" applyProtection="1">
      <alignment horizontal="left"/>
      <protection hidden="1"/>
    </xf>
    <xf numFmtId="1" fontId="2" fillId="3" borderId="0" xfId="0" applyNumberFormat="1" applyFont="1" applyFill="1" applyAlignment="1" applyProtection="1">
      <alignment horizontal="left" vertical="center"/>
      <protection hidden="1"/>
    </xf>
    <xf numFmtId="1" fontId="2" fillId="3" borderId="0" xfId="0" applyNumberFormat="1" applyFont="1" applyFill="1" applyAlignment="1" applyProtection="1">
      <alignment horizontal="center" vertical="center"/>
      <protection hidden="1"/>
    </xf>
    <xf numFmtId="1" fontId="2" fillId="3" borderId="0" xfId="0" applyNumberFormat="1" applyFont="1" applyFill="1" applyAlignment="1" applyProtection="1">
      <alignment vertical="center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1" fontId="2" fillId="2" borderId="7" xfId="0" applyNumberFormat="1" applyFont="1" applyFill="1" applyBorder="1" applyAlignment="1" applyProtection="1">
      <alignment horizontal="center" vertical="center"/>
      <protection hidden="1"/>
    </xf>
    <xf numFmtId="1" fontId="3" fillId="0" borderId="11" xfId="0" applyNumberFormat="1" applyFont="1" applyBorder="1" applyAlignment="1" applyProtection="1">
      <alignment vertical="center"/>
      <protection hidden="1"/>
    </xf>
    <xf numFmtId="1" fontId="3" fillId="2" borderId="10" xfId="0" applyNumberFormat="1" applyFont="1" applyFill="1" applyBorder="1" applyAlignment="1" applyProtection="1">
      <alignment horizontal="center"/>
      <protection hidden="1"/>
    </xf>
    <xf numFmtId="20" fontId="2" fillId="0" borderId="0" xfId="0" applyNumberFormat="1" applyFont="1" applyFill="1" applyBorder="1" applyAlignment="1" applyProtection="1">
      <alignment horizontal="center"/>
      <protection hidden="1"/>
    </xf>
    <xf numFmtId="2" fontId="3" fillId="3" borderId="0" xfId="0" applyNumberFormat="1" applyFont="1" applyFill="1" applyAlignment="1" applyProtection="1">
      <alignment horizontal="center"/>
      <protection hidden="1"/>
    </xf>
    <xf numFmtId="0" fontId="3" fillId="3" borderId="1" xfId="0" quotePrefix="1" applyFont="1" applyFill="1" applyBorder="1" applyAlignment="1" applyProtection="1">
      <alignment horizontal="left"/>
      <protection hidden="1"/>
    </xf>
    <xf numFmtId="0" fontId="3" fillId="3" borderId="7" xfId="0" applyFont="1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20" fontId="3" fillId="3" borderId="0" xfId="0" applyNumberFormat="1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3" borderId="0" xfId="0" applyFont="1" applyFill="1" applyBorder="1" applyProtection="1">
      <protection hidden="1"/>
    </xf>
    <xf numFmtId="1" fontId="3" fillId="2" borderId="2" xfId="0" applyNumberFormat="1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right"/>
      <protection hidden="1"/>
    </xf>
    <xf numFmtId="1" fontId="2" fillId="0" borderId="2" xfId="0" applyNumberFormat="1" applyFont="1" applyBorder="1" applyAlignment="1" applyProtection="1">
      <alignment vertical="center"/>
      <protection hidden="1"/>
    </xf>
    <xf numFmtId="1" fontId="2" fillId="2" borderId="7" xfId="0" applyNumberFormat="1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" fontId="3" fillId="2" borderId="0" xfId="0" applyNumberFormat="1" applyFont="1" applyFill="1" applyAlignment="1" applyProtection="1">
      <alignment horizontal="right"/>
      <protection hidden="1"/>
    </xf>
    <xf numFmtId="1" fontId="3" fillId="2" borderId="13" xfId="0" applyNumberFormat="1" applyFont="1" applyFill="1" applyBorder="1" applyAlignment="1" applyProtection="1">
      <alignment horizontal="center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4" fontId="3" fillId="0" borderId="0" xfId="0" applyNumberFormat="1" applyFont="1" applyFill="1" applyBorder="1" applyAlignment="1" applyProtection="1">
      <alignment horizontal="right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1" xfId="0" applyFont="1" applyFill="1" applyBorder="1" applyProtection="1">
      <protection hidden="1"/>
    </xf>
    <xf numFmtId="1" fontId="3" fillId="5" borderId="0" xfId="0" applyNumberFormat="1" applyFont="1" applyFill="1" applyAlignment="1" applyProtection="1">
      <alignment horizontal="left"/>
      <protection hidden="1"/>
    </xf>
    <xf numFmtId="1" fontId="3" fillId="5" borderId="0" xfId="0" applyNumberFormat="1" applyFont="1" applyFill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Protection="1"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1" fontId="3" fillId="5" borderId="7" xfId="0" applyNumberFormat="1" applyFont="1" applyFill="1" applyBorder="1" applyAlignment="1" applyProtection="1">
      <alignment horizontal="left"/>
      <protection hidden="1"/>
    </xf>
    <xf numFmtId="1" fontId="3" fillId="5" borderId="7" xfId="0" applyNumberFormat="1" applyFont="1" applyFill="1" applyBorder="1" applyAlignment="1" applyProtection="1">
      <alignment horizontal="center"/>
      <protection hidden="1"/>
    </xf>
    <xf numFmtId="0" fontId="3" fillId="4" borderId="7" xfId="0" applyFont="1" applyFill="1" applyBorder="1" applyAlignment="1" applyProtection="1">
      <alignment horizontal="center"/>
      <protection hidden="1"/>
    </xf>
    <xf numFmtId="1" fontId="5" fillId="4" borderId="7" xfId="0" applyNumberFormat="1" applyFont="1" applyFill="1" applyBorder="1" applyAlignment="1" applyProtection="1">
      <alignment horizontal="center"/>
      <protection hidden="1"/>
    </xf>
    <xf numFmtId="0" fontId="5" fillId="4" borderId="7" xfId="0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1" fontId="3" fillId="4" borderId="0" xfId="0" applyNumberFormat="1" applyFont="1" applyFill="1" applyAlignment="1" applyProtection="1">
      <alignment horizontal="center"/>
      <protection hidden="1"/>
    </xf>
    <xf numFmtId="0" fontId="3" fillId="4" borderId="1" xfId="0" applyNumberFormat="1" applyFont="1" applyFill="1" applyBorder="1" applyAlignment="1" applyProtection="1">
      <alignment horizontal="center"/>
      <protection hidden="1"/>
    </xf>
    <xf numFmtId="1" fontId="11" fillId="0" borderId="7" xfId="0" applyNumberFormat="1" applyFont="1" applyBorder="1" applyAlignment="1" applyProtection="1">
      <alignment horizontal="center" vertical="center"/>
      <protection hidden="1"/>
    </xf>
    <xf numFmtId="1" fontId="11" fillId="0" borderId="7" xfId="0" quotePrefix="1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Protection="1">
      <protection hidden="1"/>
    </xf>
    <xf numFmtId="20" fontId="2" fillId="0" borderId="5" xfId="0" applyNumberFormat="1" applyFont="1" applyFill="1" applyBorder="1" applyAlignment="1" applyProtection="1">
      <alignment horizontal="center"/>
      <protection hidden="1"/>
    </xf>
    <xf numFmtId="1" fontId="2" fillId="0" borderId="5" xfId="0" applyNumberFormat="1" applyFont="1" applyFill="1" applyBorder="1" applyAlignment="1" applyProtection="1">
      <alignment horizontal="left" indent="1"/>
      <protection hidden="1"/>
    </xf>
    <xf numFmtId="1" fontId="3" fillId="0" borderId="0" xfId="0" applyNumberFormat="1" applyFont="1" applyBorder="1" applyProtection="1">
      <protection hidden="1"/>
    </xf>
    <xf numFmtId="1" fontId="3" fillId="0" borderId="8" xfId="0" applyNumberFormat="1" applyFont="1" applyBorder="1" applyProtection="1">
      <protection hidden="1"/>
    </xf>
    <xf numFmtId="1" fontId="3" fillId="0" borderId="5" xfId="0" applyNumberFormat="1" applyFont="1" applyBorder="1" applyProtection="1">
      <protection hidden="1"/>
    </xf>
    <xf numFmtId="164" fontId="4" fillId="0" borderId="14" xfId="0" applyNumberFormat="1" applyFont="1" applyFill="1" applyBorder="1" applyAlignment="1" applyProtection="1">
      <alignment horizontal="center" vertical="center"/>
      <protection hidden="1"/>
    </xf>
    <xf numFmtId="1" fontId="2" fillId="2" borderId="0" xfId="0" applyNumberFormat="1" applyFont="1" applyFill="1" applyBorder="1" applyAlignment="1" applyProtection="1">
      <alignment horizontal="center"/>
      <protection hidden="1"/>
    </xf>
    <xf numFmtId="1" fontId="3" fillId="4" borderId="0" xfId="0" quotePrefix="1" applyNumberFormat="1" applyFont="1" applyFill="1" applyAlignment="1" applyProtection="1">
      <alignment horizontal="center"/>
      <protection hidden="1"/>
    </xf>
    <xf numFmtId="1" fontId="2" fillId="0" borderId="5" xfId="0" applyNumberFormat="1" applyFont="1" applyBorder="1" applyAlignment="1" applyProtection="1">
      <alignment horizontal="left" indent="1"/>
      <protection hidden="1"/>
    </xf>
    <xf numFmtId="1" fontId="3" fillId="0" borderId="8" xfId="0" applyNumberFormat="1" applyFont="1" applyFill="1" applyBorder="1" applyProtection="1">
      <protection hidden="1"/>
    </xf>
    <xf numFmtId="1" fontId="3" fillId="4" borderId="0" xfId="0" applyNumberFormat="1" applyFont="1" applyFill="1" applyAlignment="1" applyProtection="1">
      <alignment horizontal="center" vertical="top"/>
      <protection hidden="1"/>
    </xf>
    <xf numFmtId="20" fontId="12" fillId="0" borderId="5" xfId="0" applyNumberFormat="1" applyFont="1" applyFill="1" applyBorder="1" applyAlignment="1" applyProtection="1">
      <alignment horizontal="right" vertical="center"/>
      <protection hidden="1"/>
    </xf>
    <xf numFmtId="164" fontId="12" fillId="0" borderId="14" xfId="0" applyNumberFormat="1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1" fontId="3" fillId="0" borderId="0" xfId="0" applyNumberFormat="1" applyFont="1" applyBorder="1" applyAlignment="1" applyProtection="1">
      <alignment horizontal="center"/>
      <protection hidden="1"/>
    </xf>
    <xf numFmtId="1" fontId="12" fillId="0" borderId="5" xfId="0" applyNumberFormat="1" applyFont="1" applyBorder="1" applyAlignment="1" applyProtection="1">
      <alignment horizontal="right" vertical="center"/>
      <protection hidden="1"/>
    </xf>
    <xf numFmtId="20" fontId="2" fillId="0" borderId="9" xfId="0" applyNumberFormat="1" applyFont="1" applyFill="1" applyBorder="1" applyAlignment="1" applyProtection="1">
      <alignment horizontal="center"/>
      <protection hidden="1"/>
    </xf>
    <xf numFmtId="20" fontId="2" fillId="0" borderId="7" xfId="0" applyNumberFormat="1" applyFont="1" applyFill="1" applyBorder="1" applyAlignment="1" applyProtection="1">
      <alignment horizontal="center"/>
      <protection hidden="1"/>
    </xf>
    <xf numFmtId="164" fontId="3" fillId="0" borderId="7" xfId="0" applyNumberFormat="1" applyFont="1" applyFill="1" applyBorder="1" applyAlignment="1" applyProtection="1">
      <alignment horizontal="right"/>
      <protection hidden="1"/>
    </xf>
    <xf numFmtId="1" fontId="3" fillId="0" borderId="7" xfId="0" applyNumberFormat="1" applyFont="1" applyFill="1" applyBorder="1" applyProtection="1">
      <protection hidden="1"/>
    </xf>
    <xf numFmtId="1" fontId="3" fillId="0" borderId="15" xfId="0" applyNumberFormat="1" applyFont="1" applyFill="1" applyBorder="1" applyProtection="1">
      <protection hidden="1"/>
    </xf>
    <xf numFmtId="1" fontId="2" fillId="2" borderId="0" xfId="0" applyNumberFormat="1" applyFont="1" applyFill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vertical="center"/>
      <protection hidden="1"/>
    </xf>
    <xf numFmtId="1" fontId="2" fillId="2" borderId="11" xfId="0" applyNumberFormat="1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1" fontId="3" fillId="2" borderId="3" xfId="0" applyNumberFormat="1" applyFont="1" applyFill="1" applyBorder="1" applyAlignment="1" applyProtection="1">
      <alignment horizontal="right"/>
      <protection hidden="1"/>
    </xf>
    <xf numFmtId="1" fontId="11" fillId="0" borderId="0" xfId="0" quotePrefix="1" applyNumberFormat="1" applyFont="1" applyBorder="1" applyAlignment="1" applyProtection="1">
      <alignment vertical="top"/>
      <protection hidden="1"/>
    </xf>
    <xf numFmtId="1" fontId="2" fillId="2" borderId="11" xfId="0" applyNumberFormat="1" applyFont="1" applyFill="1" applyBorder="1" applyAlignment="1" applyProtection="1">
      <alignment horizontal="left"/>
      <protection hidden="1"/>
    </xf>
    <xf numFmtId="0" fontId="3" fillId="2" borderId="3" xfId="0" applyFont="1" applyFill="1" applyBorder="1" applyProtection="1">
      <protection hidden="1"/>
    </xf>
    <xf numFmtId="0" fontId="3" fillId="0" borderId="3" xfId="0" applyFont="1" applyBorder="1" applyProtection="1">
      <protection hidden="1"/>
    </xf>
    <xf numFmtId="1" fontId="3" fillId="0" borderId="3" xfId="0" applyNumberFormat="1" applyFont="1" applyBorder="1" applyAlignment="1" applyProtection="1">
      <alignment horizontal="center"/>
      <protection hidden="1"/>
    </xf>
    <xf numFmtId="1" fontId="2" fillId="0" borderId="5" xfId="0" applyNumberFormat="1" applyFont="1" applyBorder="1" applyProtection="1">
      <protection hidden="1"/>
    </xf>
    <xf numFmtId="1" fontId="2" fillId="2" borderId="0" xfId="0" applyNumberFormat="1" applyFont="1" applyFill="1" applyBorder="1" applyAlignment="1" applyProtection="1">
      <alignment horizontal="left"/>
      <protection hidden="1"/>
    </xf>
    <xf numFmtId="0" fontId="3" fillId="2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1" fontId="3" fillId="2" borderId="0" xfId="0" applyNumberFormat="1" applyFont="1" applyFill="1" applyBorder="1" applyAlignment="1" applyProtection="1">
      <alignment horizontal="right"/>
      <protection hidden="1"/>
    </xf>
    <xf numFmtId="1" fontId="2" fillId="3" borderId="5" xfId="0" applyNumberFormat="1" applyFont="1" applyFill="1" applyBorder="1" applyProtection="1">
      <protection hidden="1"/>
    </xf>
    <xf numFmtId="1" fontId="2" fillId="3" borderId="0" xfId="0" applyNumberFormat="1" applyFont="1" applyFill="1" applyBorder="1" applyAlignment="1" applyProtection="1">
      <alignment horizontal="left"/>
      <protection hidden="1"/>
    </xf>
    <xf numFmtId="1" fontId="3" fillId="3" borderId="0" xfId="0" applyNumberFormat="1" applyFont="1" applyFill="1" applyBorder="1" applyAlignment="1" applyProtection="1">
      <alignment horizontal="center"/>
      <protection hidden="1"/>
    </xf>
    <xf numFmtId="1" fontId="3" fillId="3" borderId="0" xfId="0" applyNumberFormat="1" applyFont="1" applyFill="1" applyBorder="1" applyAlignment="1" applyProtection="1">
      <alignment horizontal="right"/>
      <protection hidden="1"/>
    </xf>
    <xf numFmtId="1" fontId="8" fillId="2" borderId="5" xfId="0" applyNumberFormat="1" applyFont="1" applyFill="1" applyBorder="1" applyAlignment="1" applyProtection="1">
      <alignment horizontal="right"/>
      <protection hidden="1"/>
    </xf>
    <xf numFmtId="164" fontId="3" fillId="3" borderId="0" xfId="0" applyNumberFormat="1" applyFont="1" applyFill="1" applyBorder="1" applyAlignment="1" applyProtection="1">
      <alignment horizontal="center" vertical="center"/>
      <protection hidden="1"/>
    </xf>
    <xf numFmtId="164" fontId="3" fillId="3" borderId="8" xfId="0" applyNumberFormat="1" applyFont="1" applyFill="1" applyBorder="1" applyAlignment="1" applyProtection="1">
      <alignment horizontal="center" vertical="center"/>
      <protection hidden="1"/>
    </xf>
    <xf numFmtId="1" fontId="2" fillId="0" borderId="0" xfId="0" quotePrefix="1" applyNumberFormat="1" applyFont="1" applyBorder="1" applyAlignment="1" applyProtection="1">
      <alignment horizontal="left"/>
      <protection hidden="1"/>
    </xf>
    <xf numFmtId="1" fontId="2" fillId="0" borderId="0" xfId="0" quotePrefix="1" applyNumberFormat="1" applyFont="1" applyBorder="1" applyAlignment="1" applyProtection="1">
      <alignment horizontal="right"/>
      <protection hidden="1"/>
    </xf>
    <xf numFmtId="1" fontId="3" fillId="2" borderId="7" xfId="0" applyNumberFormat="1" applyFont="1" applyFill="1" applyBorder="1" applyProtection="1">
      <protection hidden="1"/>
    </xf>
    <xf numFmtId="1" fontId="5" fillId="2" borderId="13" xfId="0" applyNumberFormat="1" applyFont="1" applyFill="1" applyBorder="1" applyAlignment="1" applyProtection="1">
      <alignment horizontal="center"/>
      <protection hidden="1"/>
    </xf>
    <xf numFmtId="1" fontId="2" fillId="0" borderId="9" xfId="0" applyNumberFormat="1" applyFont="1" applyBorder="1" applyProtection="1">
      <protection hidden="1"/>
    </xf>
    <xf numFmtId="1" fontId="2" fillId="2" borderId="7" xfId="0" applyNumberFormat="1" applyFont="1" applyFill="1" applyBorder="1" applyAlignment="1" applyProtection="1">
      <alignment horizontal="left"/>
      <protection hidden="1"/>
    </xf>
    <xf numFmtId="1" fontId="3" fillId="0" borderId="16" xfId="0" applyNumberFormat="1" applyFont="1" applyBorder="1" applyProtection="1">
      <protection hidden="1"/>
    </xf>
    <xf numFmtId="1" fontId="3" fillId="2" borderId="0" xfId="0" applyNumberFormat="1" applyFont="1" applyFill="1" applyBorder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1" fontId="11" fillId="0" borderId="0" xfId="0" applyNumberFormat="1" applyFont="1" applyAlignment="1" applyProtection="1">
      <alignment horizontal="right"/>
      <protection hidden="1"/>
    </xf>
    <xf numFmtId="1" fontId="2" fillId="0" borderId="0" xfId="0" applyNumberFormat="1" applyFont="1" applyBorder="1" applyAlignment="1" applyProtection="1">
      <alignment wrapText="1"/>
      <protection hidden="1"/>
    </xf>
    <xf numFmtId="164" fontId="3" fillId="6" borderId="10" xfId="0" applyNumberFormat="1" applyFont="1" applyFill="1" applyBorder="1" applyAlignment="1" applyProtection="1">
      <alignment horizontal="center" vertical="center"/>
      <protection locked="0"/>
    </xf>
    <xf numFmtId="164" fontId="3" fillId="6" borderId="17" xfId="0" applyNumberFormat="1" applyFont="1" applyFill="1" applyBorder="1" applyAlignment="1" applyProtection="1">
      <alignment horizontal="center" vertical="center"/>
      <protection locked="0"/>
    </xf>
    <xf numFmtId="1" fontId="2" fillId="7" borderId="0" xfId="0" applyNumberFormat="1" applyFont="1" applyFill="1" applyAlignment="1" applyProtection="1">
      <alignment horizontal="center"/>
      <protection hidden="1"/>
    </xf>
    <xf numFmtId="0" fontId="2" fillId="7" borderId="0" xfId="0" applyFont="1" applyFill="1" applyAlignment="1" applyProtection="1">
      <alignment horizontal="center"/>
      <protection hidden="1"/>
    </xf>
    <xf numFmtId="0" fontId="2" fillId="7" borderId="0" xfId="0" applyFont="1" applyFill="1" applyBorder="1" applyAlignment="1" applyProtection="1">
      <alignment horizontal="center"/>
      <protection hidden="1"/>
    </xf>
    <xf numFmtId="1" fontId="2" fillId="7" borderId="0" xfId="0" applyNumberFormat="1" applyFont="1" applyFill="1" applyBorder="1" applyAlignment="1" applyProtection="1">
      <alignment horizontal="centerContinuous"/>
      <protection hidden="1"/>
    </xf>
    <xf numFmtId="1" fontId="2" fillId="7" borderId="7" xfId="0" applyNumberFormat="1" applyFont="1" applyFill="1" applyBorder="1" applyAlignment="1" applyProtection="1">
      <alignment horizontal="center"/>
      <protection hidden="1"/>
    </xf>
    <xf numFmtId="1" fontId="2" fillId="7" borderId="0" xfId="0" applyNumberFormat="1" applyFont="1" applyFill="1" applyBorder="1" applyAlignment="1" applyProtection="1">
      <alignment horizontal="center"/>
      <protection hidden="1"/>
    </xf>
    <xf numFmtId="20" fontId="2" fillId="7" borderId="0" xfId="0" applyNumberFormat="1" applyFont="1" applyFill="1" applyBorder="1" applyAlignment="1" applyProtection="1">
      <alignment horizontal="center"/>
      <protection hidden="1"/>
    </xf>
    <xf numFmtId="0" fontId="2" fillId="7" borderId="0" xfId="0" applyNumberFormat="1" applyFont="1" applyFill="1" applyBorder="1" applyAlignment="1" applyProtection="1">
      <alignment horizontal="center"/>
      <protection hidden="1"/>
    </xf>
    <xf numFmtId="1" fontId="3" fillId="7" borderId="0" xfId="0" applyNumberFormat="1" applyFont="1" applyFill="1" applyBorder="1" applyAlignment="1" applyProtection="1">
      <alignment horizontal="center" vertical="center"/>
      <protection hidden="1"/>
    </xf>
    <xf numFmtId="20" fontId="2" fillId="7" borderId="0" xfId="0" applyNumberFormat="1" applyFont="1" applyFill="1" applyBorder="1" applyAlignment="1" applyProtection="1">
      <alignment horizontal="center" vertical="center"/>
      <protection hidden="1"/>
    </xf>
    <xf numFmtId="0" fontId="3" fillId="7" borderId="0" xfId="0" applyNumberFormat="1" applyFont="1" applyFill="1" applyBorder="1" applyAlignment="1" applyProtection="1">
      <alignment horizontal="center" vertical="center"/>
      <protection hidden="1"/>
    </xf>
    <xf numFmtId="0" fontId="2" fillId="7" borderId="0" xfId="0" applyNumberFormat="1" applyFont="1" applyFill="1" applyBorder="1" applyAlignment="1" applyProtection="1">
      <alignment horizontal="center" vertical="center"/>
      <protection hidden="1"/>
    </xf>
    <xf numFmtId="1" fontId="2" fillId="7" borderId="0" xfId="0" applyNumberFormat="1" applyFont="1" applyFill="1" applyBorder="1" applyAlignment="1" applyProtection="1">
      <alignment wrapText="1"/>
      <protection hidden="1"/>
    </xf>
    <xf numFmtId="0" fontId="3" fillId="7" borderId="0" xfId="0" applyNumberFormat="1" applyFont="1" applyFill="1" applyBorder="1" applyAlignment="1" applyProtection="1">
      <alignment horizontal="center"/>
      <protection hidden="1"/>
    </xf>
    <xf numFmtId="20" fontId="2" fillId="7" borderId="7" xfId="0" applyNumberFormat="1" applyFont="1" applyFill="1" applyBorder="1" applyAlignment="1" applyProtection="1">
      <alignment horizontal="center"/>
      <protection hidden="1"/>
    </xf>
    <xf numFmtId="0" fontId="2" fillId="7" borderId="7" xfId="0" applyNumberFormat="1" applyFont="1" applyFill="1" applyBorder="1" applyAlignment="1" applyProtection="1">
      <alignment horizontal="center"/>
      <protection hidden="1"/>
    </xf>
    <xf numFmtId="1" fontId="11" fillId="7" borderId="0" xfId="0" quotePrefix="1" applyNumberFormat="1" applyFont="1" applyFill="1" applyBorder="1" applyAlignment="1" applyProtection="1">
      <alignment vertical="top"/>
      <protection hidden="1"/>
    </xf>
    <xf numFmtId="1" fontId="2" fillId="7" borderId="0" xfId="0" applyNumberFormat="1" applyFont="1" applyFill="1" applyAlignment="1" applyProtection="1">
      <alignment horizontal="left"/>
      <protection hidden="1"/>
    </xf>
    <xf numFmtId="1" fontId="14" fillId="0" borderId="0" xfId="0" applyNumberFormat="1" applyFont="1" applyFill="1" applyBorder="1" applyAlignment="1" applyProtection="1">
      <alignment horizontal="right" vertical="top"/>
      <protection hidden="1"/>
    </xf>
    <xf numFmtId="165" fontId="3" fillId="0" borderId="0" xfId="0" applyNumberFormat="1" applyFont="1" applyProtection="1">
      <protection hidden="1"/>
    </xf>
    <xf numFmtId="1" fontId="2" fillId="7" borderId="2" xfId="0" applyNumberFormat="1" applyFont="1" applyFill="1" applyBorder="1" applyAlignment="1" applyProtection="1">
      <alignment horizontal="left"/>
      <protection hidden="1"/>
    </xf>
    <xf numFmtId="1" fontId="2" fillId="7" borderId="3" xfId="0" applyNumberFormat="1" applyFont="1" applyFill="1" applyBorder="1" applyAlignment="1" applyProtection="1">
      <alignment horizontal="center"/>
      <protection hidden="1"/>
    </xf>
    <xf numFmtId="1" fontId="2" fillId="7" borderId="4" xfId="0" applyNumberFormat="1" applyFont="1" applyFill="1" applyBorder="1" applyAlignment="1" applyProtection="1">
      <alignment horizontal="center"/>
      <protection hidden="1"/>
    </xf>
    <xf numFmtId="1" fontId="2" fillId="7" borderId="9" xfId="0" applyNumberFormat="1" applyFont="1" applyFill="1" applyBorder="1" applyAlignment="1" applyProtection="1">
      <alignment horizontal="center"/>
      <protection hidden="1"/>
    </xf>
    <xf numFmtId="1" fontId="2" fillId="7" borderId="15" xfId="0" applyNumberFormat="1" applyFont="1" applyFill="1" applyBorder="1" applyAlignment="1" applyProtection="1">
      <alignment horizontal="center"/>
      <protection hidden="1"/>
    </xf>
    <xf numFmtId="1" fontId="2" fillId="0" borderId="5" xfId="0" applyNumberFormat="1" applyFont="1" applyBorder="1" applyAlignment="1" applyProtection="1">
      <alignment vertical="center" wrapText="1"/>
      <protection hidden="1"/>
    </xf>
    <xf numFmtId="1" fontId="2" fillId="0" borderId="0" xfId="0" applyNumberFormat="1" applyFont="1" applyBorder="1" applyAlignment="1" applyProtection="1">
      <alignment vertical="center" wrapText="1"/>
      <protection hidden="1"/>
    </xf>
    <xf numFmtId="164" fontId="3" fillId="0" borderId="10" xfId="0" quotePrefix="1" applyNumberFormat="1" applyFont="1" applyBorder="1" applyAlignment="1" applyProtection="1">
      <alignment horizontal="center" vertical="center"/>
      <protection hidden="1"/>
    </xf>
    <xf numFmtId="164" fontId="3" fillId="0" borderId="18" xfId="0" quotePrefix="1" applyNumberFormat="1" applyFont="1" applyBorder="1" applyAlignment="1" applyProtection="1">
      <alignment horizontal="center" vertical="center"/>
      <protection hidden="1"/>
    </xf>
    <xf numFmtId="164" fontId="3" fillId="0" borderId="0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2" xfId="0" quotePrefix="1" applyNumberFormat="1" applyFont="1" applyBorder="1" applyAlignment="1" applyProtection="1">
      <alignment horizontal="center" vertical="center"/>
      <protection hidden="1"/>
    </xf>
    <xf numFmtId="164" fontId="3" fillId="0" borderId="19" xfId="0" quotePrefix="1" applyNumberFormat="1" applyFont="1" applyBorder="1" applyAlignment="1" applyProtection="1">
      <alignment horizontal="center" vertical="center"/>
      <protection hidden="1"/>
    </xf>
    <xf numFmtId="1" fontId="20" fillId="0" borderId="0" xfId="0" applyNumberFormat="1" applyFont="1" applyFill="1" applyBorder="1" applyAlignment="1" applyProtection="1">
      <alignment vertical="top"/>
      <protection hidden="1"/>
    </xf>
    <xf numFmtId="1" fontId="2" fillId="0" borderId="0" xfId="0" applyNumberFormat="1" applyFont="1" applyFill="1" applyBorder="1" applyAlignment="1" applyProtection="1">
      <alignment horizontal="left" vertical="center"/>
      <protection hidden="1"/>
    </xf>
    <xf numFmtId="1" fontId="2" fillId="0" borderId="0" xfId="0" applyNumberFormat="1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Fill="1" applyBorder="1" applyAlignment="1" applyProtection="1">
      <alignment vertical="top" wrapText="1"/>
      <protection hidden="1"/>
    </xf>
    <xf numFmtId="1" fontId="20" fillId="0" borderId="0" xfId="0" applyNumberFormat="1" applyFont="1" applyAlignment="1" applyProtection="1">
      <alignment horizontal="left" indent="2"/>
      <protection hidden="1"/>
    </xf>
    <xf numFmtId="1" fontId="20" fillId="0" borderId="0" xfId="0" applyNumberFormat="1" applyFont="1" applyFill="1" applyBorder="1" applyAlignment="1" applyProtection="1">
      <alignment horizontal="left" vertical="top" indent="2"/>
      <protection hidden="1"/>
    </xf>
    <xf numFmtId="1" fontId="21" fillId="0" borderId="0" xfId="0" applyNumberFormat="1" applyFont="1" applyBorder="1" applyAlignment="1" applyProtection="1">
      <alignment horizontal="left"/>
      <protection hidden="1"/>
    </xf>
    <xf numFmtId="1" fontId="21" fillId="0" borderId="0" xfId="0" applyNumberFormat="1" applyFont="1" applyBorder="1" applyAlignment="1" applyProtection="1">
      <alignment vertical="top"/>
      <protection hidden="1"/>
    </xf>
    <xf numFmtId="1" fontId="3" fillId="0" borderId="0" xfId="0" applyNumberFormat="1" applyFont="1" applyFill="1" applyBorder="1" applyAlignment="1" applyProtection="1">
      <alignment horizontal="centerContinuous"/>
      <protection hidden="1"/>
    </xf>
    <xf numFmtId="1" fontId="3" fillId="0" borderId="0" xfId="0" quotePrefix="1" applyNumberFormat="1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Fill="1" applyBorder="1" applyAlignment="1" applyProtection="1">
      <alignment horizontal="center"/>
      <protection hidden="1"/>
    </xf>
    <xf numFmtId="20" fontId="21" fillId="0" borderId="0" xfId="0" applyNumberFormat="1" applyFont="1" applyFill="1" applyBorder="1" applyAlignment="1" applyProtection="1">
      <alignment horizontal="left"/>
      <protection hidden="1"/>
    </xf>
    <xf numFmtId="20" fontId="21" fillId="0" borderId="0" xfId="0" applyNumberFormat="1" applyFont="1" applyFill="1" applyBorder="1" applyAlignment="1" applyProtection="1">
      <alignment horizontal="left" vertical="top"/>
      <protection hidden="1"/>
    </xf>
    <xf numFmtId="1" fontId="22" fillId="0" borderId="0" xfId="0" applyNumberFormat="1" applyFont="1" applyProtection="1">
      <protection hidden="1"/>
    </xf>
    <xf numFmtId="1" fontId="22" fillId="0" borderId="0" xfId="0" applyNumberFormat="1" applyFont="1" applyFill="1" applyBorder="1" applyAlignment="1" applyProtection="1">
      <alignment horizontal="left"/>
      <protection hidden="1"/>
    </xf>
    <xf numFmtId="164" fontId="15" fillId="0" borderId="0" xfId="0" applyNumberFormat="1" applyFont="1" applyFill="1" applyBorder="1" applyAlignment="1" applyProtection="1">
      <alignment vertical="center"/>
      <protection hidden="1"/>
    </xf>
    <xf numFmtId="1" fontId="5" fillId="0" borderId="3" xfId="0" quotePrefix="1" applyNumberFormat="1" applyFont="1" applyBorder="1" applyAlignment="1" applyProtection="1">
      <alignment vertical="center"/>
      <protection hidden="1"/>
    </xf>
    <xf numFmtId="1" fontId="5" fillId="0" borderId="4" xfId="0" quotePrefix="1" applyNumberFormat="1" applyFont="1" applyBorder="1" applyAlignment="1" applyProtection="1">
      <alignment vertical="center"/>
      <protection hidden="1"/>
    </xf>
    <xf numFmtId="1" fontId="5" fillId="0" borderId="2" xfId="0" quotePrefix="1" applyNumberFormat="1" applyFont="1" applyBorder="1" applyAlignment="1" applyProtection="1">
      <protection hidden="1"/>
    </xf>
    <xf numFmtId="1" fontId="3" fillId="0" borderId="9" xfId="0" applyNumberFormat="1" applyFont="1" applyBorder="1" applyAlignment="1" applyProtection="1">
      <alignment vertical="center"/>
      <protection hidden="1"/>
    </xf>
    <xf numFmtId="1" fontId="2" fillId="7" borderId="7" xfId="0" applyNumberFormat="1" applyFont="1" applyFill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vertical="center"/>
      <protection hidden="1"/>
    </xf>
    <xf numFmtId="1" fontId="3" fillId="0" borderId="15" xfId="0" applyNumberFormat="1" applyFont="1" applyBorder="1" applyAlignment="1" applyProtection="1">
      <alignment vertical="center"/>
      <protection hidden="1"/>
    </xf>
    <xf numFmtId="1" fontId="2" fillId="0" borderId="5" xfId="0" quotePrefix="1" applyNumberFormat="1" applyFont="1" applyBorder="1" applyAlignment="1" applyProtection="1">
      <alignment horizontal="center" vertical="center"/>
      <protection hidden="1"/>
    </xf>
    <xf numFmtId="1" fontId="2" fillId="0" borderId="20" xfId="0" applyNumberFormat="1" applyFont="1" applyBorder="1" applyAlignment="1" applyProtection="1">
      <alignment horizontal="center" vertical="center"/>
      <protection hidden="1"/>
    </xf>
    <xf numFmtId="1" fontId="2" fillId="2" borderId="5" xfId="0" applyNumberFormat="1" applyFont="1" applyFill="1" applyBorder="1" applyAlignment="1" applyProtection="1">
      <alignment horizontal="center" vertical="center"/>
      <protection hidden="1"/>
    </xf>
    <xf numFmtId="1" fontId="2" fillId="0" borderId="21" xfId="0" applyNumberFormat="1" applyFont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horizontal="left"/>
      <protection hidden="1"/>
    </xf>
    <xf numFmtId="1" fontId="2" fillId="0" borderId="0" xfId="0" applyNumberFormat="1" applyFont="1" applyBorder="1" applyAlignment="1" applyProtection="1">
      <alignment horizontal="right" vertical="center" wrapText="1"/>
      <protection hidden="1"/>
    </xf>
    <xf numFmtId="1" fontId="23" fillId="0" borderId="0" xfId="0" applyNumberFormat="1" applyFont="1" applyBorder="1" applyAlignment="1" applyProtection="1">
      <alignment vertical="top" wrapText="1"/>
      <protection hidden="1"/>
    </xf>
    <xf numFmtId="1" fontId="23" fillId="0" borderId="0" xfId="0" applyNumberFormat="1" applyFont="1" applyBorder="1" applyAlignment="1" applyProtection="1">
      <alignment vertical="top"/>
      <protection hidden="1"/>
    </xf>
    <xf numFmtId="0" fontId="2" fillId="7" borderId="10" xfId="0" applyNumberFormat="1" applyFont="1" applyFill="1" applyBorder="1" applyAlignment="1" applyProtection="1">
      <alignment horizontal="center"/>
      <protection hidden="1"/>
    </xf>
    <xf numFmtId="0" fontId="2" fillId="7" borderId="11" xfId="0" applyNumberFormat="1" applyFont="1" applyFill="1" applyBorder="1" applyAlignment="1" applyProtection="1">
      <alignment horizontal="left" vertical="center"/>
      <protection hidden="1"/>
    </xf>
    <xf numFmtId="0" fontId="2" fillId="7" borderId="16" xfId="0" applyNumberFormat="1" applyFont="1" applyFill="1" applyBorder="1" applyAlignment="1" applyProtection="1">
      <alignment horizontal="center"/>
      <protection hidden="1"/>
    </xf>
    <xf numFmtId="1" fontId="21" fillId="0" borderId="0" xfId="0" applyNumberFormat="1" applyFont="1" applyBorder="1" applyProtection="1">
      <protection hidden="1"/>
    </xf>
    <xf numFmtId="1" fontId="2" fillId="7" borderId="11" xfId="0" applyNumberFormat="1" applyFont="1" applyFill="1" applyBorder="1" applyAlignment="1" applyProtection="1">
      <alignment horizontal="center"/>
      <protection hidden="1"/>
    </xf>
    <xf numFmtId="1" fontId="2" fillId="7" borderId="10" xfId="0" applyNumberFormat="1" applyFont="1" applyFill="1" applyBorder="1" applyAlignment="1" applyProtection="1">
      <alignment horizontal="center" vertical="center"/>
      <protection hidden="1"/>
    </xf>
    <xf numFmtId="1" fontId="17" fillId="7" borderId="11" xfId="0" applyNumberFormat="1" applyFont="1" applyFill="1" applyBorder="1" applyAlignment="1" applyProtection="1">
      <alignment horizontal="left" vertical="center"/>
      <protection hidden="1"/>
    </xf>
    <xf numFmtId="1" fontId="2" fillId="7" borderId="16" xfId="0" applyNumberFormat="1" applyFont="1" applyFill="1" applyBorder="1" applyAlignment="1" applyProtection="1">
      <alignment horizontal="center" vertical="center"/>
      <protection hidden="1"/>
    </xf>
    <xf numFmtId="1" fontId="3" fillId="2" borderId="10" xfId="0" applyNumberFormat="1" applyFont="1" applyFill="1" applyBorder="1" applyAlignment="1" applyProtection="1">
      <alignment horizontal="center" vertical="center"/>
      <protection hidden="1"/>
    </xf>
    <xf numFmtId="1" fontId="11" fillId="0" borderId="9" xfId="0" quotePrefix="1" applyNumberFormat="1" applyFont="1" applyBorder="1" applyAlignment="1" applyProtection="1">
      <alignment horizontal="center"/>
      <protection hidden="1"/>
    </xf>
    <xf numFmtId="1" fontId="2" fillId="2" borderId="9" xfId="0" applyNumberFormat="1" applyFont="1" applyFill="1" applyBorder="1" applyAlignment="1" applyProtection="1">
      <alignment horizontal="center"/>
      <protection hidden="1"/>
    </xf>
    <xf numFmtId="1" fontId="11" fillId="0" borderId="22" xfId="0" quotePrefix="1" applyNumberFormat="1" applyFont="1" applyBorder="1" applyAlignment="1" applyProtection="1">
      <alignment horizontal="center"/>
      <protection hidden="1"/>
    </xf>
    <xf numFmtId="1" fontId="2" fillId="0" borderId="0" xfId="0" quotePrefix="1" applyNumberFormat="1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2" fillId="3" borderId="0" xfId="0" quotePrefix="1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protection hidden="1"/>
    </xf>
    <xf numFmtId="0" fontId="2" fillId="3" borderId="1" xfId="0" applyFont="1" applyFill="1" applyBorder="1" applyAlignment="1" applyProtection="1">
      <protection hidden="1"/>
    </xf>
    <xf numFmtId="1" fontId="2" fillId="3" borderId="0" xfId="0" applyNumberFormat="1" applyFont="1" applyFill="1" applyAlignment="1" applyProtection="1">
      <protection hidden="1"/>
    </xf>
    <xf numFmtId="1" fontId="2" fillId="0" borderId="0" xfId="0" applyNumberFormat="1" applyFont="1" applyAlignment="1" applyProtection="1">
      <protection hidden="1"/>
    </xf>
    <xf numFmtId="1" fontId="21" fillId="0" borderId="0" xfId="0" applyNumberFormat="1" applyFont="1" applyProtection="1">
      <protection hidden="1"/>
    </xf>
    <xf numFmtId="20" fontId="21" fillId="0" borderId="0" xfId="0" applyNumberFormat="1" applyFont="1" applyFill="1" applyBorder="1" applyAlignment="1" applyProtection="1">
      <alignment horizontal="right"/>
      <protection hidden="1"/>
    </xf>
    <xf numFmtId="164" fontId="3" fillId="8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Fill="1" applyBorder="1" applyAlignment="1" applyProtection="1">
      <alignment horizontal="left" vertical="center"/>
      <protection hidden="1"/>
    </xf>
    <xf numFmtId="170" fontId="3" fillId="7" borderId="0" xfId="0" applyNumberFormat="1" applyFont="1" applyFill="1" applyBorder="1" applyAlignment="1" applyProtection="1">
      <alignment horizontal="center"/>
      <protection hidden="1"/>
    </xf>
    <xf numFmtId="1" fontId="3" fillId="7" borderId="0" xfId="0" applyNumberFormat="1" applyFont="1" applyFill="1" applyAlignment="1" applyProtection="1">
      <alignment horizontal="center"/>
      <protection hidden="1"/>
    </xf>
    <xf numFmtId="171" fontId="3" fillId="7" borderId="0" xfId="0" applyNumberFormat="1" applyFont="1" applyFill="1" applyBorder="1" applyAlignment="1" applyProtection="1">
      <alignment horizontal="center"/>
      <protection hidden="1"/>
    </xf>
    <xf numFmtId="1" fontId="2" fillId="0" borderId="3" xfId="0" applyNumberFormat="1" applyFont="1" applyBorder="1" applyAlignment="1" applyProtection="1">
      <alignment vertical="top"/>
      <protection hidden="1"/>
    </xf>
    <xf numFmtId="1" fontId="2" fillId="0" borderId="3" xfId="0" applyNumberFormat="1" applyFont="1" applyBorder="1" applyAlignment="1" applyProtection="1">
      <alignment horizontal="right" vertical="top"/>
      <protection hidden="1"/>
    </xf>
    <xf numFmtId="2" fontId="2" fillId="0" borderId="0" xfId="0" applyNumberFormat="1" applyFont="1" applyProtection="1">
      <protection hidden="1"/>
    </xf>
    <xf numFmtId="173" fontId="4" fillId="9" borderId="0" xfId="0" applyNumberFormat="1" applyFont="1" applyFill="1" applyBorder="1" applyAlignment="1" applyProtection="1">
      <alignment vertical="center"/>
      <protection hidden="1"/>
    </xf>
    <xf numFmtId="166" fontId="15" fillId="0" borderId="0" xfId="0" quotePrefix="1" applyNumberFormat="1" applyFont="1" applyFill="1" applyBorder="1" applyAlignment="1" applyProtection="1">
      <alignment horizontal="right" vertical="center"/>
      <protection hidden="1"/>
    </xf>
    <xf numFmtId="0" fontId="20" fillId="0" borderId="0" xfId="0" applyNumberFormat="1" applyFont="1" applyAlignment="1" applyProtection="1">
      <alignment vertical="center"/>
      <protection hidden="1"/>
    </xf>
    <xf numFmtId="1" fontId="14" fillId="0" borderId="5" xfId="0" applyNumberFormat="1" applyFont="1" applyFill="1" applyBorder="1" applyAlignment="1" applyProtection="1">
      <alignment horizontal="right" vertical="top"/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1" fontId="3" fillId="2" borderId="0" xfId="0" applyNumberFormat="1" applyFont="1" applyFill="1" applyAlignment="1" applyProtection="1">
      <alignment horizontal="center" vertical="center"/>
      <protection hidden="1"/>
    </xf>
    <xf numFmtId="1" fontId="2" fillId="0" borderId="7" xfId="0" applyNumberFormat="1" applyFont="1" applyBorder="1" applyProtection="1">
      <protection hidden="1"/>
    </xf>
    <xf numFmtId="1" fontId="3" fillId="2" borderId="0" xfId="0" applyNumberFormat="1" applyFont="1" applyFill="1" applyAlignment="1" applyProtection="1">
      <alignment horizontal="center"/>
      <protection hidden="1"/>
    </xf>
    <xf numFmtId="14" fontId="3" fillId="2" borderId="0" xfId="0" applyNumberFormat="1" applyFont="1" applyFill="1" applyAlignment="1" applyProtection="1">
      <alignment horizontal="center" vertical="top"/>
      <protection hidden="1"/>
    </xf>
    <xf numFmtId="1" fontId="3" fillId="2" borderId="0" xfId="0" applyNumberFormat="1" applyFont="1" applyFill="1" applyAlignment="1" applyProtection="1">
      <alignment horizontal="center" vertical="top"/>
      <protection hidden="1"/>
    </xf>
    <xf numFmtId="1" fontId="3" fillId="0" borderId="0" xfId="0" applyNumberFormat="1" applyFont="1" applyAlignment="1" applyProtection="1">
      <alignment horizontal="left"/>
      <protection hidden="1"/>
    </xf>
    <xf numFmtId="174" fontId="3" fillId="0" borderId="0" xfId="0" applyNumberFormat="1" applyFont="1" applyAlignment="1" applyProtection="1">
      <protection hidden="1"/>
    </xf>
    <xf numFmtId="164" fontId="3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hidden="1"/>
    </xf>
    <xf numFmtId="164" fontId="3" fillId="0" borderId="18" xfId="0" applyNumberFormat="1" applyFont="1" applyBorder="1" applyAlignment="1" applyProtection="1">
      <alignment horizontal="center" vertical="center"/>
      <protection hidden="1"/>
    </xf>
    <xf numFmtId="1" fontId="3" fillId="0" borderId="18" xfId="0" applyNumberFormat="1" applyFont="1" applyBorder="1" applyAlignment="1" applyProtection="1">
      <alignment horizontal="center"/>
      <protection hidden="1"/>
    </xf>
    <xf numFmtId="1" fontId="2" fillId="7" borderId="0" xfId="0" applyNumberFormat="1" applyFont="1" applyFill="1" applyAlignment="1" applyProtection="1">
      <alignment horizontal="center" vertical="center"/>
      <protection hidden="1"/>
    </xf>
    <xf numFmtId="1" fontId="5" fillId="0" borderId="23" xfId="0" applyNumberFormat="1" applyFont="1" applyBorder="1" applyAlignment="1" applyProtection="1">
      <alignment horizontal="center" vertical="center"/>
      <protection hidden="1"/>
    </xf>
    <xf numFmtId="164" fontId="5" fillId="0" borderId="23" xfId="0" applyNumberFormat="1" applyFont="1" applyBorder="1" applyAlignment="1" applyProtection="1">
      <alignment horizontal="center" vertical="center"/>
      <protection hidden="1"/>
    </xf>
    <xf numFmtId="1" fontId="5" fillId="0" borderId="0" xfId="0" applyNumberFormat="1" applyFont="1" applyAlignment="1" applyProtection="1">
      <alignment vertical="center"/>
      <protection hidden="1"/>
    </xf>
    <xf numFmtId="1" fontId="5" fillId="2" borderId="0" xfId="0" applyNumberFormat="1" applyFont="1" applyFill="1" applyAlignment="1" applyProtection="1">
      <alignment vertical="center"/>
      <protection hidden="1"/>
    </xf>
    <xf numFmtId="1" fontId="5" fillId="0" borderId="0" xfId="0" applyNumberFormat="1" applyFont="1" applyAlignment="1" applyProtection="1">
      <alignment horizontal="left" vertical="center" indent="2"/>
      <protection hidden="1"/>
    </xf>
    <xf numFmtId="1" fontId="3" fillId="2" borderId="0" xfId="0" applyNumberFormat="1" applyFont="1" applyFill="1" applyAlignment="1" applyProtection="1">
      <alignment vertical="top"/>
      <protection hidden="1"/>
    </xf>
    <xf numFmtId="1" fontId="3" fillId="0" borderId="0" xfId="0" applyNumberFormat="1" applyFont="1" applyAlignment="1" applyProtection="1">
      <alignment vertical="top"/>
      <protection hidden="1"/>
    </xf>
    <xf numFmtId="1" fontId="3" fillId="3" borderId="0" xfId="0" applyNumberFormat="1" applyFont="1" applyFill="1" applyAlignment="1" applyProtection="1">
      <alignment horizontal="center" vertical="top"/>
      <protection hidden="1"/>
    </xf>
    <xf numFmtId="0" fontId="3" fillId="3" borderId="1" xfId="0" applyFont="1" applyFill="1" applyBorder="1" applyAlignment="1" applyProtection="1">
      <alignment vertical="top"/>
      <protection hidden="1"/>
    </xf>
    <xf numFmtId="1" fontId="3" fillId="3" borderId="0" xfId="0" applyNumberFormat="1" applyFont="1" applyFill="1" applyAlignment="1" applyProtection="1">
      <alignment vertical="top"/>
      <protection hidden="1"/>
    </xf>
    <xf numFmtId="1" fontId="3" fillId="3" borderId="0" xfId="0" applyNumberFormat="1" applyFont="1" applyFill="1" applyAlignment="1" applyProtection="1">
      <alignment horizontal="left" vertical="top"/>
      <protection hidden="1"/>
    </xf>
    <xf numFmtId="1" fontId="3" fillId="0" borderId="0" xfId="0" applyNumberFormat="1" applyFont="1" applyAlignment="1" applyProtection="1">
      <alignment horizontal="left" indent="1"/>
      <protection hidden="1"/>
    </xf>
    <xf numFmtId="1" fontId="3" fillId="0" borderId="0" xfId="0" applyNumberFormat="1" applyFont="1" applyAlignment="1" applyProtection="1">
      <alignment horizontal="left" vertical="center" indent="1"/>
      <protection hidden="1"/>
    </xf>
    <xf numFmtId="1" fontId="1" fillId="0" borderId="0" xfId="0" quotePrefix="1" applyNumberFormat="1" applyFont="1" applyAlignment="1" applyProtection="1">
      <alignment horizontal="left" vertical="center"/>
      <protection hidden="1"/>
    </xf>
    <xf numFmtId="1" fontId="24" fillId="0" borderId="0" xfId="0" applyNumberFormat="1" applyFont="1" applyAlignment="1" applyProtection="1">
      <alignment vertical="center"/>
      <protection hidden="1"/>
    </xf>
    <xf numFmtId="1" fontId="14" fillId="0" borderId="5" xfId="0" applyNumberFormat="1" applyFont="1" applyFill="1" applyBorder="1" applyAlignment="1" applyProtection="1">
      <alignment vertical="top"/>
      <protection hidden="1"/>
    </xf>
    <xf numFmtId="1" fontId="2" fillId="0" borderId="7" xfId="0" applyNumberFormat="1" applyFont="1" applyBorder="1" applyAlignment="1" applyProtection="1">
      <alignment vertical="top" wrapText="1"/>
      <protection hidden="1"/>
    </xf>
    <xf numFmtId="1" fontId="20" fillId="0" borderId="0" xfId="0" applyNumberFormat="1" applyFont="1" applyAlignment="1" applyProtection="1">
      <alignment vertical="center"/>
      <protection hidden="1"/>
    </xf>
    <xf numFmtId="1" fontId="3" fillId="0" borderId="24" xfId="0" applyNumberFormat="1" applyFont="1" applyFill="1" applyBorder="1" applyAlignment="1" applyProtection="1">
      <alignment vertical="top" wrapText="1"/>
      <protection hidden="1"/>
    </xf>
    <xf numFmtId="1" fontId="19" fillId="0" borderId="0" xfId="0" quotePrefix="1" applyNumberFormat="1" applyFont="1" applyAlignment="1" applyProtection="1">
      <alignment horizontal="center" vertical="center"/>
      <protection hidden="1"/>
    </xf>
    <xf numFmtId="1" fontId="15" fillId="0" borderId="0" xfId="0" applyNumberFormat="1" applyFont="1" applyAlignment="1" applyProtection="1">
      <alignment horizontal="center" vertical="center"/>
      <protection hidden="1"/>
    </xf>
    <xf numFmtId="1" fontId="15" fillId="0" borderId="7" xfId="0" applyNumberFormat="1" applyFont="1" applyBorder="1" applyAlignment="1" applyProtection="1">
      <alignment horizontal="center"/>
      <protection hidden="1"/>
    </xf>
    <xf numFmtId="1" fontId="3" fillId="6" borderId="18" xfId="0" applyNumberFormat="1" applyFont="1" applyFill="1" applyBorder="1" applyAlignment="1" applyProtection="1">
      <alignment horizontal="center"/>
      <protection locked="0"/>
    </xf>
    <xf numFmtId="1" fontId="25" fillId="0" borderId="0" xfId="0" applyNumberFormat="1" applyFont="1" applyProtection="1">
      <protection hidden="1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left"/>
      <protection hidden="1"/>
    </xf>
    <xf numFmtId="1" fontId="2" fillId="0" borderId="24" xfId="0" applyNumberFormat="1" applyFont="1" applyBorder="1" applyAlignment="1" applyProtection="1">
      <alignment horizontal="left" vertical="top" wrapText="1"/>
      <protection hidden="1"/>
    </xf>
    <xf numFmtId="1" fontId="2" fillId="0" borderId="0" xfId="0" applyNumberFormat="1" applyFont="1" applyBorder="1" applyAlignment="1" applyProtection="1">
      <alignment horizontal="left" vertical="top" wrapText="1"/>
      <protection hidden="1"/>
    </xf>
    <xf numFmtId="1" fontId="2" fillId="0" borderId="0" xfId="0" applyNumberFormat="1" applyFont="1" applyFill="1" applyBorder="1" applyAlignment="1" applyProtection="1">
      <alignment horizontal="left" vertical="top" wrapText="1"/>
      <protection hidden="1"/>
    </xf>
    <xf numFmtId="1" fontId="5" fillId="0" borderId="0" xfId="0" applyNumberFormat="1" applyFont="1" applyAlignment="1" applyProtection="1">
      <alignment horizontal="right" vertical="center"/>
      <protection hidden="1"/>
    </xf>
    <xf numFmtId="1" fontId="5" fillId="0" borderId="0" xfId="0" applyNumberFormat="1" applyFont="1" applyAlignment="1" applyProtection="1">
      <alignment horizontal="left" vertical="center"/>
      <protection hidden="1"/>
    </xf>
    <xf numFmtId="1" fontId="3" fillId="0" borderId="0" xfId="0" applyNumberFormat="1" applyFont="1" applyBorder="1" applyAlignment="1" applyProtection="1">
      <alignment horizontal="right" vertical="center"/>
      <protection hidden="1"/>
    </xf>
    <xf numFmtId="164" fontId="2" fillId="0" borderId="0" xfId="0" applyNumberFormat="1" applyFont="1" applyFill="1" applyBorder="1" applyAlignment="1" applyProtection="1">
      <alignment horizontal="left" wrapText="1"/>
      <protection hidden="1"/>
    </xf>
    <xf numFmtId="164" fontId="2" fillId="0" borderId="8" xfId="0" applyNumberFormat="1" applyFont="1" applyFill="1" applyBorder="1" applyAlignment="1" applyProtection="1">
      <alignment horizontal="left" wrapText="1"/>
      <protection hidden="1"/>
    </xf>
    <xf numFmtId="164" fontId="13" fillId="0" borderId="0" xfId="0" applyNumberFormat="1" applyFont="1" applyFill="1" applyBorder="1" applyAlignment="1" applyProtection="1">
      <alignment horizontal="center"/>
      <protection hidden="1"/>
    </xf>
    <xf numFmtId="1" fontId="15" fillId="0" borderId="0" xfId="0" quotePrefix="1" applyNumberFormat="1" applyFont="1" applyBorder="1" applyAlignment="1" applyProtection="1">
      <alignment horizontal="right" vertical="top"/>
      <protection hidden="1"/>
    </xf>
    <xf numFmtId="1" fontId="15" fillId="0" borderId="0" xfId="0" applyNumberFormat="1" applyFont="1" applyBorder="1" applyAlignment="1" applyProtection="1">
      <alignment horizontal="right" vertical="top"/>
      <protection hidden="1"/>
    </xf>
    <xf numFmtId="172" fontId="15" fillId="0" borderId="0" xfId="0" applyNumberFormat="1" applyFont="1" applyBorder="1" applyAlignment="1" applyProtection="1">
      <alignment horizontal="center" vertical="top"/>
      <protection hidden="1"/>
    </xf>
    <xf numFmtId="167" fontId="3" fillId="0" borderId="0" xfId="0" applyNumberFormat="1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left" vertical="center"/>
      <protection hidden="1"/>
    </xf>
    <xf numFmtId="0" fontId="4" fillId="6" borderId="10" xfId="0" applyNumberFormat="1" applyFont="1" applyFill="1" applyBorder="1" applyAlignment="1" applyProtection="1">
      <alignment horizontal="center" vertical="center"/>
      <protection locked="0"/>
    </xf>
    <xf numFmtId="0" fontId="4" fillId="6" borderId="11" xfId="0" applyNumberFormat="1" applyFont="1" applyFill="1" applyBorder="1" applyAlignment="1" applyProtection="1">
      <alignment horizontal="center" vertical="center"/>
      <protection locked="0"/>
    </xf>
    <xf numFmtId="0" fontId="4" fillId="6" borderId="16" xfId="0" applyNumberFormat="1" applyFont="1" applyFill="1" applyBorder="1" applyAlignment="1" applyProtection="1">
      <alignment horizontal="center" vertical="center"/>
      <protection locked="0"/>
    </xf>
    <xf numFmtId="1" fontId="4" fillId="6" borderId="14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right" vertical="center"/>
      <protection hidden="1"/>
    </xf>
    <xf numFmtId="175" fontId="4" fillId="6" borderId="14" xfId="0" applyNumberFormat="1" applyFont="1" applyFill="1" applyBorder="1" applyAlignment="1" applyProtection="1">
      <alignment vertical="center"/>
      <protection locked="0"/>
    </xf>
    <xf numFmtId="169" fontId="15" fillId="0" borderId="0" xfId="0" applyNumberFormat="1" applyFont="1" applyBorder="1" applyAlignment="1" applyProtection="1">
      <alignment horizontal="left" vertical="center"/>
      <protection hidden="1"/>
    </xf>
    <xf numFmtId="1" fontId="3" fillId="6" borderId="0" xfId="0" applyNumberFormat="1" applyFont="1" applyFill="1" applyBorder="1" applyAlignment="1" applyProtection="1">
      <alignment horizontal="left" vertical="top" wrapText="1"/>
      <protection locked="0"/>
    </xf>
    <xf numFmtId="1" fontId="3" fillId="6" borderId="14" xfId="0" applyNumberFormat="1" applyFont="1" applyFill="1" applyBorder="1" applyAlignment="1" applyProtection="1">
      <alignment horizontal="left" vertical="top" wrapText="1"/>
      <protection locked="0"/>
    </xf>
    <xf numFmtId="1" fontId="2" fillId="0" borderId="5" xfId="0" quotePrefix="1" applyNumberFormat="1" applyFont="1" applyBorder="1" applyAlignment="1" applyProtection="1">
      <alignment horizontal="center" vertical="top" wrapText="1"/>
      <protection hidden="1"/>
    </xf>
    <xf numFmtId="1" fontId="2" fillId="0" borderId="8" xfId="0" quotePrefix="1" applyNumberFormat="1" applyFont="1" applyBorder="1" applyAlignment="1" applyProtection="1">
      <alignment horizontal="center" vertical="top" wrapText="1"/>
      <protection hidden="1"/>
    </xf>
    <xf numFmtId="1" fontId="11" fillId="0" borderId="24" xfId="0" quotePrefix="1" applyNumberFormat="1" applyFont="1" applyBorder="1" applyAlignment="1" applyProtection="1">
      <alignment horizontal="left" vertical="top" wrapText="1"/>
      <protection hidden="1"/>
    </xf>
    <xf numFmtId="1" fontId="11" fillId="0" borderId="24" xfId="0" quotePrefix="1" applyNumberFormat="1" applyFont="1" applyBorder="1" applyAlignment="1" applyProtection="1">
      <alignment horizontal="left" vertical="top"/>
      <protection hidden="1"/>
    </xf>
    <xf numFmtId="1" fontId="11" fillId="0" borderId="0" xfId="0" quotePrefix="1" applyNumberFormat="1" applyFont="1" applyBorder="1" applyAlignment="1" applyProtection="1">
      <alignment horizontal="left" vertical="top"/>
      <protection hidden="1"/>
    </xf>
    <xf numFmtId="1" fontId="2" fillId="0" borderId="5" xfId="0" applyNumberFormat="1" applyFont="1" applyBorder="1" applyAlignment="1" applyProtection="1">
      <alignment horizontal="center" vertical="top" wrapText="1"/>
      <protection hidden="1"/>
    </xf>
    <xf numFmtId="1" fontId="2" fillId="0" borderId="0" xfId="0" applyNumberFormat="1" applyFont="1" applyBorder="1" applyAlignment="1" applyProtection="1">
      <alignment horizontal="center" vertical="top" wrapText="1"/>
      <protection hidden="1"/>
    </xf>
    <xf numFmtId="1" fontId="2" fillId="0" borderId="5" xfId="0" applyNumberFormat="1" applyFont="1" applyBorder="1" applyAlignment="1" applyProtection="1">
      <alignment horizontal="center" vertical="top"/>
      <protection hidden="1"/>
    </xf>
    <xf numFmtId="1" fontId="2" fillId="0" borderId="0" xfId="0" applyNumberFormat="1" applyFont="1" applyBorder="1" applyAlignment="1" applyProtection="1">
      <alignment horizontal="center" vertical="top"/>
      <protection hidden="1"/>
    </xf>
    <xf numFmtId="1" fontId="11" fillId="0" borderId="5" xfId="0" quotePrefix="1" applyNumberFormat="1" applyFont="1" applyBorder="1" applyAlignment="1" applyProtection="1">
      <alignment horizontal="center"/>
      <protection hidden="1"/>
    </xf>
    <xf numFmtId="1" fontId="11" fillId="0" borderId="0" xfId="0" quotePrefix="1" applyNumberFormat="1" applyFont="1" applyBorder="1" applyAlignment="1" applyProtection="1">
      <alignment horizontal="center"/>
      <protection hidden="1"/>
    </xf>
    <xf numFmtId="1" fontId="11" fillId="0" borderId="8" xfId="0" quotePrefix="1" applyNumberFormat="1" applyFont="1" applyBorder="1" applyAlignment="1" applyProtection="1">
      <alignment horizontal="center"/>
      <protection hidden="1"/>
    </xf>
    <xf numFmtId="1" fontId="2" fillId="0" borderId="8" xfId="0" applyNumberFormat="1" applyFont="1" applyBorder="1" applyAlignment="1" applyProtection="1">
      <alignment horizontal="center" vertical="top"/>
      <protection hidden="1"/>
    </xf>
    <xf numFmtId="1" fontId="2" fillId="0" borderId="5" xfId="0" applyNumberFormat="1" applyFont="1" applyBorder="1" applyAlignment="1" applyProtection="1">
      <alignment horizontal="left" wrapText="1" indent="1"/>
      <protection hidden="1"/>
    </xf>
    <xf numFmtId="1" fontId="2" fillId="0" borderId="0" xfId="0" applyNumberFormat="1" applyFont="1" applyBorder="1" applyAlignment="1" applyProtection="1">
      <alignment horizontal="left" wrapText="1" indent="1"/>
      <protection hidden="1"/>
    </xf>
    <xf numFmtId="1" fontId="2" fillId="0" borderId="8" xfId="0" applyNumberFormat="1" applyFont="1" applyBorder="1" applyAlignment="1" applyProtection="1">
      <alignment horizontal="left" wrapText="1" indent="1"/>
      <protection hidden="1"/>
    </xf>
    <xf numFmtId="1" fontId="5" fillId="6" borderId="18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0" xfId="0" applyNumberFormat="1" applyFont="1" applyFill="1" applyProtection="1">
      <protection locked="0"/>
    </xf>
    <xf numFmtId="1" fontId="3" fillId="2" borderId="0" xfId="0" applyNumberFormat="1" applyFont="1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95250</xdr:colOff>
      <xdr:row>0</xdr:row>
      <xdr:rowOff>25977</xdr:rowOff>
    </xdr:from>
    <xdr:to>
      <xdr:col>32</xdr:col>
      <xdr:colOff>233795</xdr:colOff>
      <xdr:row>1</xdr:row>
      <xdr:rowOff>60614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2FF312C-C5CC-434B-A057-C0278D770590}"/>
            </a:ext>
          </a:extLst>
        </xdr:cNvPr>
        <xdr:cNvSpPr txBox="1"/>
      </xdr:nvSpPr>
      <xdr:spPr>
        <a:xfrm>
          <a:off x="2078182" y="25977"/>
          <a:ext cx="3558886" cy="225137"/>
        </a:xfrm>
        <a:prstGeom prst="rect">
          <a:avLst/>
        </a:prstGeom>
        <a:solidFill>
          <a:srgbClr val="005C00"/>
        </a:solidFill>
        <a:ln w="19050" cmpd="sng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pPr algn="ctr"/>
          <a:r>
            <a:rPr lang="de-DE" sz="1100" b="1" i="1" spc="0" baseline="0">
              <a:solidFill>
                <a:srgbClr val="FFFF00"/>
              </a:solidFill>
            </a:rPr>
            <a:t>Tipp:  Weiterspringen mit TAB-Taste oder Maus-Klick</a:t>
          </a:r>
          <a:endParaRPr lang="de-DE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8"/>
  <sheetViews>
    <sheetView showGridLines="0" tabSelected="1" zoomScale="110" zoomScaleNormal="110" workbookViewId="0">
      <selection activeCell="L19" sqref="L19"/>
    </sheetView>
  </sheetViews>
  <sheetFormatPr baseColWidth="10" defaultRowHeight="12.75" customHeight="1" outlineLevelRow="1" outlineLevelCol="2" x14ac:dyDescent="0.2"/>
  <cols>
    <col min="1" max="1" width="3.85546875" style="10" customWidth="1"/>
    <col min="2" max="2" width="12.7109375" style="2" hidden="1" customWidth="1" outlineLevel="1"/>
    <col min="3" max="3" width="6.7109375" style="3" hidden="1" customWidth="1" outlineLevel="1"/>
    <col min="4" max="4" width="3.7109375" style="4" customWidth="1" collapsed="1"/>
    <col min="5" max="8" width="4.42578125" style="4" customWidth="1"/>
    <col min="9" max="9" width="6.7109375" style="5" hidden="1" customWidth="1" outlineLevel="1"/>
    <col min="10" max="10" width="6.42578125" style="5" hidden="1" customWidth="1" outlineLevel="1"/>
    <col min="11" max="11" width="11" style="5" hidden="1" customWidth="1" outlineLevel="1"/>
    <col min="12" max="12" width="4.42578125" style="4" customWidth="1" collapsed="1"/>
    <col min="13" max="13" width="4.42578125" style="4" customWidth="1"/>
    <col min="14" max="14" width="7.42578125" style="5" hidden="1" customWidth="1" outlineLevel="1"/>
    <col min="15" max="15" width="4.42578125" style="4" customWidth="1" collapsed="1"/>
    <col min="16" max="16" width="4.42578125" style="4" customWidth="1"/>
    <col min="17" max="17" width="7.42578125" style="5" hidden="1" customWidth="1" outlineLevel="2"/>
    <col min="18" max="18" width="12.42578125" style="5" hidden="1" customWidth="1" outlineLevel="2"/>
    <col min="19" max="19" width="5.7109375" style="4" customWidth="1" collapsed="1"/>
    <col min="20" max="20" width="5.7109375" style="4" customWidth="1"/>
    <col min="21" max="21" width="2.5703125" style="4" customWidth="1"/>
    <col min="22" max="22" width="4.7109375" style="4" customWidth="1"/>
    <col min="23" max="23" width="5.7109375" style="4" customWidth="1"/>
    <col min="24" max="24" width="4.140625" style="4" customWidth="1"/>
    <col min="25" max="25" width="7.85546875" style="184" hidden="1" customWidth="1" outlineLevel="1"/>
    <col min="26" max="26" width="7.7109375" style="184" hidden="1" customWidth="1" outlineLevel="1"/>
    <col min="27" max="27" width="8" style="184" hidden="1" customWidth="1" outlineLevel="1"/>
    <col min="28" max="28" width="3.85546875" style="184" hidden="1" customWidth="1" outlineLevel="1"/>
    <col min="29" max="29" width="5.28515625" style="184" hidden="1" customWidth="1" outlineLevel="1"/>
    <col min="30" max="30" width="3.140625" style="4" customWidth="1" collapsed="1"/>
    <col min="31" max="31" width="3.140625" style="4" customWidth="1"/>
    <col min="32" max="32" width="3.28515625" style="4" customWidth="1"/>
    <col min="33" max="33" width="4.5703125" style="4" customWidth="1"/>
    <col min="34" max="34" width="3.28515625" style="4" customWidth="1"/>
    <col min="35" max="35" width="1" style="4" customWidth="1"/>
    <col min="36" max="36" width="6.7109375" style="4" customWidth="1"/>
    <col min="37" max="37" width="3.85546875" style="6" hidden="1" customWidth="1" outlineLevel="1"/>
    <col min="38" max="38" width="9.28515625" style="6" hidden="1" customWidth="1" outlineLevel="1"/>
    <col min="39" max="39" width="12.7109375" style="6" hidden="1" customWidth="1" outlineLevel="1"/>
    <col min="40" max="40" width="12.85546875" style="7" hidden="1" customWidth="1" outlineLevel="1"/>
    <col min="41" max="41" width="6.85546875" style="8" hidden="1" customWidth="1" outlineLevel="1"/>
    <col min="42" max="42" width="13" style="9" hidden="1" customWidth="1" outlineLevel="1"/>
    <col min="43" max="43" width="9.140625" style="6" hidden="1" customWidth="1" outlineLevel="1"/>
    <col min="44" max="44" width="13.140625" style="6" hidden="1" customWidth="1" outlineLevel="1"/>
    <col min="45" max="46" width="11.42578125" style="8" hidden="1" customWidth="1" outlineLevel="1"/>
    <col min="47" max="47" width="11.42578125" style="4" collapsed="1"/>
    <col min="48" max="16384" width="11.42578125" style="4"/>
  </cols>
  <sheetData>
    <row r="1" spans="1:47" ht="15" x14ac:dyDescent="0.2">
      <c r="A1" s="1" t="s">
        <v>52</v>
      </c>
    </row>
    <row r="2" spans="1:47" ht="6" customHeight="1" x14ac:dyDescent="0.2">
      <c r="D2" s="11"/>
    </row>
    <row r="3" spans="1:47" s="15" customFormat="1" ht="14.25" x14ac:dyDescent="0.2">
      <c r="A3" s="12"/>
      <c r="B3" s="13"/>
      <c r="C3" s="14"/>
      <c r="F3" s="16" t="s">
        <v>0</v>
      </c>
      <c r="G3" s="334"/>
      <c r="H3" s="335"/>
      <c r="I3" s="335"/>
      <c r="J3" s="335"/>
      <c r="K3" s="335"/>
      <c r="L3" s="336"/>
      <c r="M3" s="334"/>
      <c r="N3" s="335"/>
      <c r="O3" s="336"/>
      <c r="P3" s="4"/>
      <c r="Q3" s="5"/>
      <c r="R3" s="5"/>
      <c r="U3" s="18" t="s">
        <v>37</v>
      </c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221" t="str">
        <f>IF(V3=0," &lt;--  Name, Vorname"," ")</f>
        <v xml:space="preserve"> &lt;--  Name, Vorname</v>
      </c>
      <c r="AK3" s="19"/>
      <c r="AL3" s="19"/>
      <c r="AM3" s="19"/>
      <c r="AN3" s="20"/>
      <c r="AO3" s="21"/>
      <c r="AP3" s="22"/>
      <c r="AQ3" s="19"/>
      <c r="AR3" s="19"/>
      <c r="AS3" s="21"/>
      <c r="AT3" s="21"/>
    </row>
    <row r="4" spans="1:47" x14ac:dyDescent="0.2">
      <c r="B4" s="2" t="s">
        <v>1</v>
      </c>
      <c r="D4" s="279"/>
      <c r="E4" s="279"/>
      <c r="F4" s="279"/>
      <c r="G4" s="279"/>
      <c r="H4" s="279"/>
      <c r="J4" s="274"/>
      <c r="K4" s="274"/>
      <c r="L4" s="275" t="s">
        <v>2</v>
      </c>
      <c r="M4" s="23" t="s">
        <v>3</v>
      </c>
      <c r="P4" s="56"/>
      <c r="U4" s="11"/>
      <c r="V4" s="11"/>
      <c r="W4" s="270"/>
      <c r="X4" s="24"/>
      <c r="Y4" s="185"/>
      <c r="Z4" s="185"/>
      <c r="AA4" s="185"/>
      <c r="AB4" s="185"/>
      <c r="AC4" s="185"/>
      <c r="AD4" s="24"/>
      <c r="AI4" s="25"/>
      <c r="AJ4" s="217" t="str">
        <f>IF(OR(G3=0,M3=0)," &lt;--  Monat / Jahr eintragen (Monatsnamen ausschreiben)"," ")</f>
        <v xml:space="preserve"> &lt;--  Monat / Jahr eintragen (Monatsnamen ausschreiben)</v>
      </c>
      <c r="AK4" s="26"/>
      <c r="AL4" s="27"/>
      <c r="AM4" s="8"/>
      <c r="AN4" s="28"/>
      <c r="AO4" s="6"/>
      <c r="AQ4" s="8"/>
    </row>
    <row r="5" spans="1:47" ht="14.25" x14ac:dyDescent="0.2">
      <c r="B5" s="29" t="s">
        <v>39</v>
      </c>
      <c r="C5" s="30" t="e">
        <f>LOOKUP(G3,Monatslänge)</f>
        <v>#N/A</v>
      </c>
      <c r="D5" s="338" t="s">
        <v>82</v>
      </c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9"/>
      <c r="W5" s="339"/>
      <c r="X5" s="277" t="s">
        <v>15</v>
      </c>
      <c r="Y5" s="272">
        <f>ROUND(V5/100*38.5*60,0)</f>
        <v>0</v>
      </c>
      <c r="Z5" s="271">
        <f>INT(Y5/60)</f>
        <v>0</v>
      </c>
      <c r="AA5" s="273">
        <f>MOD(Y5,60)</f>
        <v>0</v>
      </c>
      <c r="AB5" s="186"/>
      <c r="AC5" s="186"/>
      <c r="AD5" s="278" t="s">
        <v>81</v>
      </c>
      <c r="AE5" s="340">
        <f>IF(AND(V5=0,X5=0)," ",Z5+ROUND((AA5/60),2))</f>
        <v>0</v>
      </c>
      <c r="AF5" s="340"/>
      <c r="AG5" s="340"/>
      <c r="AH5" s="340"/>
      <c r="AJ5" s="222" t="str">
        <f>IF(V5=0," &lt;--  vertragliche Wochenarbeitszeit"," ")</f>
        <v xml:space="preserve"> &lt;--  vertragliche Wochenarbeitszeit</v>
      </c>
      <c r="AK5" s="26"/>
      <c r="AL5" s="27"/>
      <c r="AM5" s="8"/>
      <c r="AN5" s="28"/>
      <c r="AO5" s="6"/>
      <c r="AQ5" s="8"/>
    </row>
    <row r="6" spans="1:47" ht="7.5" customHeight="1" x14ac:dyDescent="0.2">
      <c r="G6" s="31"/>
      <c r="H6" s="32"/>
      <c r="I6" s="33"/>
      <c r="J6" s="33"/>
      <c r="K6" s="33"/>
      <c r="L6" s="31"/>
      <c r="M6" s="32"/>
      <c r="N6" s="33"/>
      <c r="O6" s="31"/>
      <c r="P6" s="32"/>
      <c r="Q6" s="33"/>
      <c r="R6" s="33"/>
      <c r="S6" s="32"/>
      <c r="T6" s="23"/>
      <c r="U6" s="11"/>
      <c r="V6" s="11"/>
      <c r="W6" s="11"/>
      <c r="X6" s="24"/>
      <c r="Y6" s="186"/>
      <c r="Z6" s="186"/>
      <c r="AA6" s="186"/>
      <c r="AB6" s="186"/>
      <c r="AC6" s="186"/>
      <c r="AD6" s="329" t="s">
        <v>81</v>
      </c>
      <c r="AE6" s="330" t="str">
        <f>IF(AND(V5=0,X5=0)," ",Z5&amp;" Std.")</f>
        <v>0 Std.</v>
      </c>
      <c r="AF6" s="330"/>
      <c r="AG6" s="331">
        <f>IF(AND(V5=0,X5=0)," ",AA5)</f>
        <v>0</v>
      </c>
      <c r="AH6" s="331"/>
      <c r="AI6" s="25"/>
      <c r="AJ6" s="34"/>
      <c r="AK6" s="26"/>
      <c r="AL6" s="27"/>
      <c r="AM6" s="8"/>
      <c r="AN6" s="28"/>
      <c r="AO6" s="6"/>
      <c r="AQ6" s="8"/>
    </row>
    <row r="7" spans="1:47" s="10" customFormat="1" ht="9" customHeight="1" x14ac:dyDescent="0.2">
      <c r="A7" s="35"/>
      <c r="B7" s="36" t="s">
        <v>4</v>
      </c>
      <c r="C7" s="37" t="e">
        <f>LOOKUP(G3,Monatsname)</f>
        <v>#N/A</v>
      </c>
      <c r="D7" s="38"/>
      <c r="E7" s="35"/>
      <c r="F7" s="38"/>
      <c r="G7" s="38"/>
      <c r="H7" s="38"/>
      <c r="I7" s="39"/>
      <c r="J7" s="39"/>
      <c r="K7" s="39"/>
      <c r="L7" s="38"/>
      <c r="M7" s="38"/>
      <c r="N7" s="39"/>
      <c r="O7" s="38"/>
      <c r="P7" s="38"/>
      <c r="Q7" s="39"/>
      <c r="R7" s="39"/>
      <c r="S7" s="40"/>
      <c r="T7" s="41"/>
      <c r="U7" s="42"/>
      <c r="V7" s="42"/>
      <c r="W7" s="42"/>
      <c r="X7" s="42"/>
      <c r="Y7" s="187"/>
      <c r="Z7" s="187"/>
      <c r="AA7" s="187"/>
      <c r="AB7" s="187"/>
      <c r="AC7" s="187"/>
      <c r="AD7" s="330"/>
      <c r="AE7" s="330"/>
      <c r="AF7" s="330"/>
      <c r="AG7" s="331"/>
      <c r="AH7" s="331"/>
      <c r="AI7" s="44"/>
      <c r="AJ7" s="74"/>
      <c r="AK7" s="26"/>
      <c r="AL7" s="26"/>
      <c r="AM7" s="27"/>
      <c r="AN7" s="45"/>
      <c r="AO7" s="8"/>
      <c r="AP7" s="46"/>
      <c r="AQ7" s="47"/>
      <c r="AR7" s="47"/>
      <c r="AS7" s="48"/>
      <c r="AT7" s="48"/>
    </row>
    <row r="8" spans="1:47" s="10" customFormat="1" ht="15" customHeight="1" x14ac:dyDescent="0.2">
      <c r="A8" s="49" t="s">
        <v>47</v>
      </c>
      <c r="B8" s="43" t="s">
        <v>5</v>
      </c>
      <c r="C8" s="50"/>
      <c r="D8" s="31"/>
      <c r="E8" s="49" t="s">
        <v>46</v>
      </c>
      <c r="F8" s="51"/>
      <c r="G8" s="31"/>
      <c r="H8" s="31"/>
      <c r="I8" s="52"/>
      <c r="J8" s="52"/>
      <c r="K8" s="52"/>
      <c r="L8" s="31"/>
      <c r="M8" s="31"/>
      <c r="N8" s="52"/>
      <c r="O8" s="31"/>
      <c r="P8" s="31"/>
      <c r="Q8" s="52"/>
      <c r="R8" s="52"/>
      <c r="S8" s="343" t="s">
        <v>54</v>
      </c>
      <c r="T8" s="344"/>
      <c r="V8" s="218" t="s">
        <v>61</v>
      </c>
      <c r="W8" s="53"/>
      <c r="X8" s="54"/>
      <c r="Y8" s="187"/>
      <c r="Z8" s="187"/>
      <c r="AA8" s="187"/>
      <c r="AB8" s="187"/>
      <c r="AC8" s="187"/>
      <c r="AD8" s="330"/>
      <c r="AE8" s="330"/>
      <c r="AF8" s="330"/>
      <c r="AG8" s="331"/>
      <c r="AH8" s="331"/>
      <c r="AI8" s="54"/>
      <c r="AJ8" s="4"/>
      <c r="AK8" s="26"/>
      <c r="AL8" s="26"/>
      <c r="AM8" s="27"/>
      <c r="AN8" s="45"/>
      <c r="AO8" s="48"/>
      <c r="AP8" s="46"/>
      <c r="AQ8" s="47"/>
      <c r="AR8" s="47"/>
      <c r="AS8" s="48"/>
      <c r="AT8" s="48"/>
    </row>
    <row r="9" spans="1:47" s="10" customFormat="1" ht="12.75" hidden="1" customHeight="1" outlineLevel="1" x14ac:dyDescent="0.2">
      <c r="A9" s="55"/>
      <c r="B9" s="29" t="s">
        <v>7</v>
      </c>
      <c r="C9" s="37" t="e">
        <f>LOOKUP(C7,Monat)</f>
        <v>#N/A</v>
      </c>
      <c r="D9" s="56"/>
      <c r="E9" s="55"/>
      <c r="F9" s="57"/>
      <c r="G9" s="56"/>
      <c r="H9" s="56"/>
      <c r="I9" s="52"/>
      <c r="J9" s="52"/>
      <c r="K9" s="52"/>
      <c r="L9" s="56"/>
      <c r="M9" s="56"/>
      <c r="N9" s="52"/>
      <c r="O9" s="56"/>
      <c r="P9" s="56"/>
      <c r="Q9" s="52"/>
      <c r="R9" s="52"/>
      <c r="S9" s="343"/>
      <c r="T9" s="344"/>
      <c r="U9" s="58"/>
      <c r="V9" s="53"/>
      <c r="W9" s="53"/>
      <c r="X9" s="54"/>
      <c r="Y9" s="187"/>
      <c r="Z9" s="187"/>
      <c r="AA9" s="187"/>
      <c r="AB9" s="187"/>
      <c r="AC9" s="187"/>
      <c r="AD9" s="54"/>
      <c r="AE9" s="53"/>
      <c r="AF9" s="53"/>
      <c r="AG9" s="53"/>
      <c r="AH9" s="53"/>
      <c r="AI9" s="54"/>
      <c r="AJ9" s="225"/>
      <c r="AK9" s="26"/>
      <c r="AL9" s="26"/>
      <c r="AM9" s="27"/>
      <c r="AN9" s="45"/>
      <c r="AO9" s="48"/>
      <c r="AP9" s="46"/>
      <c r="AQ9" s="47"/>
      <c r="AR9" s="47"/>
      <c r="AS9" s="48"/>
      <c r="AT9" s="48"/>
    </row>
    <row r="10" spans="1:47" s="10" customFormat="1" ht="22.5" customHeight="1" collapsed="1" thickBot="1" x14ac:dyDescent="0.25">
      <c r="A10" s="55"/>
      <c r="B10" s="59" t="s">
        <v>8</v>
      </c>
      <c r="C10" s="60" t="e">
        <f>LOOKUP(C9,Wochentag)</f>
        <v>#N/A</v>
      </c>
      <c r="D10" s="56"/>
      <c r="E10" s="350" t="s">
        <v>63</v>
      </c>
      <c r="F10" s="355"/>
      <c r="G10" s="350" t="s">
        <v>64</v>
      </c>
      <c r="H10" s="351"/>
      <c r="I10" s="52"/>
      <c r="J10" s="52"/>
      <c r="K10" s="52"/>
      <c r="L10" s="348" t="s">
        <v>65</v>
      </c>
      <c r="M10" s="349"/>
      <c r="N10" s="52"/>
      <c r="O10" s="348" t="s">
        <v>43</v>
      </c>
      <c r="P10" s="349"/>
      <c r="Q10" s="52"/>
      <c r="R10" s="3" t="s">
        <v>44</v>
      </c>
      <c r="S10" s="343"/>
      <c r="T10" s="344"/>
      <c r="U10" s="24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222" t="str">
        <f>IF(V10=0," &lt;--  Anstellungsträger"," ")</f>
        <v xml:space="preserve"> &lt;--  Anstellungsträger</v>
      </c>
      <c r="AK10" s="26"/>
      <c r="AL10" s="26"/>
      <c r="AM10" s="27"/>
      <c r="AN10" s="45"/>
      <c r="AO10" s="48"/>
      <c r="AP10" s="46"/>
      <c r="AQ10" s="47"/>
      <c r="AR10" s="47"/>
      <c r="AS10" s="48"/>
      <c r="AT10" s="48"/>
      <c r="AU10" s="276"/>
    </row>
    <row r="11" spans="1:47" s="69" customFormat="1" ht="13.5" hidden="1" customHeight="1" outlineLevel="1" x14ac:dyDescent="0.2">
      <c r="A11" s="61"/>
      <c r="B11" s="62" t="e">
        <f>IF(C10=7,1,0)</f>
        <v>#N/A</v>
      </c>
      <c r="C11" s="62" t="e">
        <f>B11</f>
        <v>#N/A</v>
      </c>
      <c r="D11" s="52"/>
      <c r="E11" s="63"/>
      <c r="F11" s="64"/>
      <c r="G11" s="63"/>
      <c r="H11" s="65"/>
      <c r="I11" s="52"/>
      <c r="J11" s="52"/>
      <c r="K11" s="52"/>
      <c r="L11" s="209"/>
      <c r="M11" s="210"/>
      <c r="N11" s="52"/>
      <c r="O11" s="348"/>
      <c r="P11" s="349"/>
      <c r="Q11" s="52"/>
      <c r="R11" s="52"/>
      <c r="S11" s="66"/>
      <c r="T11" s="67"/>
      <c r="U11" s="68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H11" s="341"/>
      <c r="AI11" s="341"/>
      <c r="AJ11" s="74"/>
      <c r="AK11" s="26"/>
      <c r="AL11" s="26"/>
      <c r="AM11" s="27"/>
      <c r="AN11" s="45"/>
      <c r="AO11" s="48"/>
      <c r="AP11" s="46"/>
      <c r="AQ11" s="47"/>
      <c r="AR11" s="47"/>
      <c r="AS11" s="48"/>
      <c r="AT11" s="48"/>
    </row>
    <row r="12" spans="1:47" s="69" customFormat="1" ht="13.5" hidden="1" customHeight="1" outlineLevel="1" x14ac:dyDescent="0.2">
      <c r="A12" s="61"/>
      <c r="B12" s="62" t="e">
        <f>IF(C10=1,1,0)</f>
        <v>#N/A</v>
      </c>
      <c r="C12" s="62" t="e">
        <f>IF(AND(B12=0,C11=0),0,C11+1)</f>
        <v>#N/A</v>
      </c>
      <c r="D12" s="52"/>
      <c r="E12" s="63"/>
      <c r="F12" s="64"/>
      <c r="G12" s="63"/>
      <c r="H12" s="65"/>
      <c r="I12" s="52"/>
      <c r="J12" s="52"/>
      <c r="K12" s="52"/>
      <c r="L12" s="209"/>
      <c r="M12" s="210"/>
      <c r="N12" s="52"/>
      <c r="O12" s="348"/>
      <c r="P12" s="349"/>
      <c r="Q12" s="52"/>
      <c r="R12" s="52"/>
      <c r="S12" s="66"/>
      <c r="T12" s="67"/>
      <c r="U12" s="68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74"/>
      <c r="AK12" s="26"/>
      <c r="AL12" s="26"/>
      <c r="AM12" s="27"/>
      <c r="AN12" s="45"/>
      <c r="AO12" s="48"/>
      <c r="AP12" s="46"/>
      <c r="AQ12" s="47"/>
      <c r="AR12" s="47"/>
      <c r="AS12" s="48"/>
      <c r="AT12" s="48"/>
    </row>
    <row r="13" spans="1:47" s="56" customFormat="1" ht="12.75" hidden="1" customHeight="1" outlineLevel="1" collapsed="1" x14ac:dyDescent="0.2">
      <c r="A13" s="55"/>
      <c r="B13" s="70"/>
      <c r="C13" s="70"/>
      <c r="E13" s="63"/>
      <c r="F13" s="64"/>
      <c r="G13" s="63"/>
      <c r="H13" s="65"/>
      <c r="I13" s="71" t="s">
        <v>9</v>
      </c>
      <c r="J13" s="71" t="s">
        <v>10</v>
      </c>
      <c r="K13" s="37" t="s">
        <v>42</v>
      </c>
      <c r="L13" s="209"/>
      <c r="M13" s="210"/>
      <c r="N13" s="37" t="s">
        <v>40</v>
      </c>
      <c r="O13" s="348"/>
      <c r="P13" s="349"/>
      <c r="Q13" s="71" t="s">
        <v>45</v>
      </c>
      <c r="R13" s="37" t="s">
        <v>6</v>
      </c>
      <c r="S13" s="49"/>
      <c r="T13" s="72"/>
      <c r="U13" s="73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74"/>
      <c r="AK13" s="26"/>
      <c r="AL13" s="26"/>
      <c r="AM13" s="27"/>
      <c r="AN13" s="45"/>
      <c r="AO13" s="48"/>
      <c r="AP13" s="75"/>
      <c r="AQ13" s="76"/>
      <c r="AR13" s="76"/>
      <c r="AS13" s="77"/>
      <c r="AT13" s="77"/>
    </row>
    <row r="14" spans="1:47" s="12" customFormat="1" ht="12.75" customHeight="1" collapsed="1" x14ac:dyDescent="0.2">
      <c r="A14" s="63"/>
      <c r="B14" s="161"/>
      <c r="C14" s="161"/>
      <c r="D14" s="65"/>
      <c r="E14" s="240" t="s">
        <v>11</v>
      </c>
      <c r="F14" s="241" t="s">
        <v>12</v>
      </c>
      <c r="G14" s="240" t="s">
        <v>11</v>
      </c>
      <c r="H14" s="241" t="s">
        <v>12</v>
      </c>
      <c r="I14" s="242" t="s">
        <v>41</v>
      </c>
      <c r="J14" s="242" t="s">
        <v>41</v>
      </c>
      <c r="K14" s="242" t="s">
        <v>41</v>
      </c>
      <c r="L14" s="240" t="s">
        <v>11</v>
      </c>
      <c r="M14" s="241" t="s">
        <v>12</v>
      </c>
      <c r="N14" s="242" t="s">
        <v>41</v>
      </c>
      <c r="O14" s="240" t="s">
        <v>11</v>
      </c>
      <c r="P14" s="241" t="s">
        <v>12</v>
      </c>
      <c r="Q14" s="242" t="s">
        <v>41</v>
      </c>
      <c r="R14" s="242" t="s">
        <v>41</v>
      </c>
      <c r="S14" s="240" t="s">
        <v>11</v>
      </c>
      <c r="T14" s="243" t="s">
        <v>12</v>
      </c>
      <c r="U14" s="219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226"/>
      <c r="AK14" s="26"/>
      <c r="AL14" s="79" t="s">
        <v>38</v>
      </c>
      <c r="AM14" s="27"/>
      <c r="AN14" s="45"/>
      <c r="AO14" s="77"/>
      <c r="AP14" s="80"/>
      <c r="AQ14" s="81"/>
      <c r="AR14" s="81"/>
      <c r="AS14" s="82"/>
      <c r="AT14" s="82"/>
    </row>
    <row r="15" spans="1:47" s="266" customFormat="1" collapsed="1" x14ac:dyDescent="0.15">
      <c r="A15" s="352" t="s">
        <v>66</v>
      </c>
      <c r="B15" s="353"/>
      <c r="C15" s="353"/>
      <c r="D15" s="354"/>
      <c r="E15" s="257" t="s">
        <v>67</v>
      </c>
      <c r="F15" s="257" t="s">
        <v>68</v>
      </c>
      <c r="G15" s="257" t="s">
        <v>69</v>
      </c>
      <c r="H15" s="257" t="s">
        <v>70</v>
      </c>
      <c r="I15" s="258" t="s">
        <v>41</v>
      </c>
      <c r="J15" s="258" t="s">
        <v>41</v>
      </c>
      <c r="K15" s="258" t="s">
        <v>41</v>
      </c>
      <c r="L15" s="257" t="s">
        <v>80</v>
      </c>
      <c r="M15" s="257" t="s">
        <v>71</v>
      </c>
      <c r="N15" s="258" t="s">
        <v>41</v>
      </c>
      <c r="O15" s="257" t="s">
        <v>72</v>
      </c>
      <c r="P15" s="257" t="s">
        <v>73</v>
      </c>
      <c r="Q15" s="258" t="s">
        <v>41</v>
      </c>
      <c r="R15" s="258" t="s">
        <v>41</v>
      </c>
      <c r="S15" s="257" t="s">
        <v>74</v>
      </c>
      <c r="T15" s="259" t="s">
        <v>75</v>
      </c>
      <c r="U15" s="104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260"/>
      <c r="AK15" s="261"/>
      <c r="AL15" s="262" t="s">
        <v>38</v>
      </c>
      <c r="AM15" s="263"/>
      <c r="AN15" s="264"/>
      <c r="AO15" s="265"/>
      <c r="AP15" s="46"/>
      <c r="AQ15" s="47"/>
      <c r="AR15" s="47"/>
      <c r="AS15" s="265"/>
      <c r="AT15" s="265"/>
    </row>
    <row r="16" spans="1:47" ht="12.75" customHeight="1" x14ac:dyDescent="0.2">
      <c r="A16" s="83" t="str">
        <f>IF(D16=" "," ","Mo")</f>
        <v xml:space="preserve"> </v>
      </c>
      <c r="B16" s="84" t="e">
        <f>IF(C10=2,1,0)</f>
        <v>#N/A</v>
      </c>
      <c r="C16" s="84" t="e">
        <f>IF(B16=1,1,0)</f>
        <v>#N/A</v>
      </c>
      <c r="D16" s="85" t="str">
        <f>IF($G$3=0," ",IF(C16=1,C16," "))</f>
        <v xml:space="preserve"> </v>
      </c>
      <c r="E16" s="182"/>
      <c r="F16" s="183"/>
      <c r="G16" s="182"/>
      <c r="H16" s="183"/>
      <c r="I16" s="318">
        <f t="shared" ref="I16:I22" si="0">(E16*60)+F16</f>
        <v>0</v>
      </c>
      <c r="J16" s="318">
        <f t="shared" ref="J16:J22" si="1">(G16*60)+H16</f>
        <v>0</v>
      </c>
      <c r="K16" s="318">
        <f t="shared" ref="K16:K22" si="2">J16-I16</f>
        <v>0</v>
      </c>
      <c r="L16" s="269"/>
      <c r="M16" s="183"/>
      <c r="N16" s="318">
        <f>IF(OR(L16="U",OR(L16="F",OR(L16="K",L16="A"))),0,(L16*60)+M16)</f>
        <v>0</v>
      </c>
      <c r="O16" s="182"/>
      <c r="P16" s="183"/>
      <c r="Q16" s="86">
        <f t="shared" ref="Q16:Q22" si="3">(O16*60)+P16</f>
        <v>0</v>
      </c>
      <c r="R16" s="86">
        <f t="shared" ref="R16:R22" si="4">K16-N16-Q16</f>
        <v>0</v>
      </c>
      <c r="S16" s="211" t="str">
        <f t="shared" ref="S16:S22" si="5">IF(E16=0," ",INT(R16/60))</f>
        <v xml:space="preserve"> </v>
      </c>
      <c r="T16" s="212" t="str">
        <f t="shared" ref="T16:T22" si="6">IF(E16=0," ",MOD(R16,60))</f>
        <v xml:space="preserve"> </v>
      </c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67" t="str">
        <f>IF(OR(AND(AF40=0,AH40=0),AND(AF40="X",AH40="X")),"  !!  Ist ein Arbeitszeitkonto vereinbart? (unten ankreuzen)"," ")</f>
        <v xml:space="preserve"> </v>
      </c>
      <c r="AK16" s="26"/>
      <c r="AL16" s="88"/>
      <c r="AM16" s="88">
        <f>V5</f>
        <v>0</v>
      </c>
      <c r="AN16" s="89" t="s">
        <v>15</v>
      </c>
      <c r="AO16" s="21">
        <f>AM23</f>
        <v>0</v>
      </c>
      <c r="AP16" s="22">
        <f>AN23</f>
        <v>0</v>
      </c>
    </row>
    <row r="17" spans="1:44" ht="12.75" customHeight="1" x14ac:dyDescent="0.2">
      <c r="A17" s="83" t="str">
        <f>IF(D17=" "," ","Di")</f>
        <v xml:space="preserve"> </v>
      </c>
      <c r="B17" s="84" t="e">
        <f>IF(B16=1,1,IF(C10=3,1,0))</f>
        <v>#N/A</v>
      </c>
      <c r="C17" s="84" t="e">
        <f>IF(B16&gt;=1,C16+1,IF(AND(B17=1,C10=3),C16+1,0))</f>
        <v>#N/A</v>
      </c>
      <c r="D17" s="85" t="str">
        <f t="shared" ref="D17:D22" si="7">IF($G$3=0," ",IF(B17=1,C17," "))</f>
        <v xml:space="preserve"> </v>
      </c>
      <c r="E17" s="182"/>
      <c r="F17" s="183"/>
      <c r="G17" s="182"/>
      <c r="H17" s="183"/>
      <c r="I17" s="318">
        <f t="shared" si="0"/>
        <v>0</v>
      </c>
      <c r="J17" s="318">
        <f t="shared" si="1"/>
        <v>0</v>
      </c>
      <c r="K17" s="318">
        <f t="shared" si="2"/>
        <v>0</v>
      </c>
      <c r="L17" s="269"/>
      <c r="M17" s="183"/>
      <c r="N17" s="318">
        <f t="shared" ref="N17:N22" si="8">IF(OR(L17="U",OR(L17="F",OR(L17="K",L17="A"))),0,(L17*60)+M17)</f>
        <v>0</v>
      </c>
      <c r="O17" s="182"/>
      <c r="P17" s="183"/>
      <c r="Q17" s="86">
        <f t="shared" si="3"/>
        <v>0</v>
      </c>
      <c r="R17" s="86">
        <f t="shared" si="4"/>
        <v>0</v>
      </c>
      <c r="S17" s="211" t="str">
        <f t="shared" si="5"/>
        <v xml:space="preserve"> </v>
      </c>
      <c r="T17" s="212" t="str">
        <f t="shared" si="6"/>
        <v xml:space="preserve"> </v>
      </c>
      <c r="U17" s="202" t="s">
        <v>56</v>
      </c>
      <c r="V17" s="322" t="s">
        <v>89</v>
      </c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230" t="str">
        <f>IF(AJ40&lt;&gt;" "," ",IF(AF40&lt;&gt;"X"," ",IF(AND(AF40="x",Y36&lt;=(Y32+Y44)),"  Überschreitet die monatliche IST-Arbeitszeit  "&amp;AA35&amp;" Std.  "&amp;AB35&amp;" Min.,"," ")))</f>
        <v xml:space="preserve">  Überschreitet die monatliche IST-Arbeitszeit  0 Std.  0 Min.,</v>
      </c>
      <c r="AK17" s="26"/>
      <c r="AL17" s="26"/>
      <c r="AM17" s="90" t="s">
        <v>16</v>
      </c>
      <c r="AN17" s="91" t="s">
        <v>17</v>
      </c>
      <c r="AO17" s="21">
        <f>AM23</f>
        <v>0</v>
      </c>
      <c r="AP17" s="22">
        <f>AN23</f>
        <v>0</v>
      </c>
    </row>
    <row r="18" spans="1:44" ht="12.75" customHeight="1" x14ac:dyDescent="0.2">
      <c r="A18" s="83" t="str">
        <f>IF(D18=" "," ","Mi")</f>
        <v xml:space="preserve"> </v>
      </c>
      <c r="B18" s="84" t="e">
        <f>IF(B17=1,1,IF(C10=4,1,0))</f>
        <v>#N/A</v>
      </c>
      <c r="C18" s="84" t="e">
        <f>IF(B17&gt;=1,C17+1,IF(AND(B18=1,C10=4),C17+1,0))</f>
        <v>#N/A</v>
      </c>
      <c r="D18" s="85" t="str">
        <f t="shared" si="7"/>
        <v xml:space="preserve"> </v>
      </c>
      <c r="E18" s="182"/>
      <c r="F18" s="183"/>
      <c r="G18" s="182"/>
      <c r="H18" s="183"/>
      <c r="I18" s="318">
        <f>(E18*60)+F18</f>
        <v>0</v>
      </c>
      <c r="J18" s="318">
        <f>(G18*60)+H18</f>
        <v>0</v>
      </c>
      <c r="K18" s="318">
        <f>J18-I18</f>
        <v>0</v>
      </c>
      <c r="L18" s="269"/>
      <c r="M18" s="183"/>
      <c r="N18" s="318">
        <f t="shared" si="8"/>
        <v>0</v>
      </c>
      <c r="O18" s="182"/>
      <c r="P18" s="183"/>
      <c r="Q18" s="86">
        <f t="shared" si="3"/>
        <v>0</v>
      </c>
      <c r="R18" s="86">
        <f t="shared" si="4"/>
        <v>0</v>
      </c>
      <c r="S18" s="211" t="str">
        <f t="shared" si="5"/>
        <v xml:space="preserve"> </v>
      </c>
      <c r="T18" s="212" t="str">
        <f t="shared" si="6"/>
        <v xml:space="preserve"> </v>
      </c>
      <c r="U18" s="87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230" t="str">
        <f>IF(AJ17=" "," ","  entsteht ein Auszahlungsanspruch für die Mehrarbeitsstunden.")</f>
        <v xml:space="preserve">  entsteht ein Auszahlungsanspruch für die Mehrarbeitsstunden.</v>
      </c>
      <c r="AK18" s="26"/>
      <c r="AL18" s="26" t="s">
        <v>18</v>
      </c>
      <c r="AM18" s="92">
        <v>0.32083333333333336</v>
      </c>
      <c r="AN18" s="93">
        <v>462</v>
      </c>
      <c r="AO18" s="21">
        <f>AM23</f>
        <v>0</v>
      </c>
      <c r="AP18" s="22">
        <f>AN23</f>
        <v>0</v>
      </c>
    </row>
    <row r="19" spans="1:44" ht="12.75" customHeight="1" x14ac:dyDescent="0.2">
      <c r="A19" s="83" t="str">
        <f>IF(D19=" "," ","Do")</f>
        <v xml:space="preserve"> </v>
      </c>
      <c r="B19" s="84" t="e">
        <f>IF(B18=1,1,IF(C10=5,1,0))</f>
        <v>#N/A</v>
      </c>
      <c r="C19" s="84" t="e">
        <f>IF(B18&gt;=1,C18+1,IF(AND(B19=1,C10=5),C18+1,0))</f>
        <v>#N/A</v>
      </c>
      <c r="D19" s="85" t="str">
        <f t="shared" si="7"/>
        <v xml:space="preserve"> </v>
      </c>
      <c r="E19" s="182"/>
      <c r="F19" s="183"/>
      <c r="G19" s="182"/>
      <c r="H19" s="183"/>
      <c r="I19" s="318">
        <f>(E19*60)+F19</f>
        <v>0</v>
      </c>
      <c r="J19" s="318">
        <f>(G19*60)+H19</f>
        <v>0</v>
      </c>
      <c r="K19" s="318">
        <f>J19-I19</f>
        <v>0</v>
      </c>
      <c r="L19" s="269"/>
      <c r="M19" s="183"/>
      <c r="N19" s="318">
        <f t="shared" si="8"/>
        <v>0</v>
      </c>
      <c r="O19" s="182"/>
      <c r="P19" s="183"/>
      <c r="Q19" s="86">
        <f t="shared" si="3"/>
        <v>0</v>
      </c>
      <c r="R19" s="86">
        <f t="shared" si="4"/>
        <v>0</v>
      </c>
      <c r="S19" s="211" t="str">
        <f t="shared" si="5"/>
        <v xml:space="preserve"> </v>
      </c>
      <c r="T19" s="212" t="str">
        <f t="shared" si="6"/>
        <v xml:space="preserve"> </v>
      </c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231" t="str">
        <f>IF(AJ17=" "," ","      !! Achtung,  erhöhte Personalausgaben !!")</f>
        <v xml:space="preserve">      !! Achtung,  erhöhte Personalausgaben !!</v>
      </c>
      <c r="AK19" s="26"/>
      <c r="AL19" s="26"/>
      <c r="AM19" s="92"/>
      <c r="AN19" s="93"/>
      <c r="AO19" s="21">
        <f>AM23</f>
        <v>0</v>
      </c>
      <c r="AP19" s="22">
        <f>AN23</f>
        <v>0</v>
      </c>
    </row>
    <row r="20" spans="1:44" ht="12.75" customHeight="1" collapsed="1" x14ac:dyDescent="0.2">
      <c r="A20" s="83" t="str">
        <f>IF(D20=" "," ","Fr")</f>
        <v xml:space="preserve"> </v>
      </c>
      <c r="B20" s="84" t="e">
        <f>IF(B19=1,1,IF(C10=6,1,0))</f>
        <v>#N/A</v>
      </c>
      <c r="C20" s="84" t="e">
        <f>IF(B19&gt;=1,C19+1,IF(AND(B20=1,C10=6),C19+1,0))</f>
        <v>#N/A</v>
      </c>
      <c r="D20" s="85" t="str">
        <f t="shared" si="7"/>
        <v xml:space="preserve"> </v>
      </c>
      <c r="E20" s="182"/>
      <c r="F20" s="183"/>
      <c r="G20" s="182"/>
      <c r="H20" s="183"/>
      <c r="I20" s="318">
        <f>(E20*60)+F20</f>
        <v>0</v>
      </c>
      <c r="J20" s="318">
        <f>(G20*60)+H20</f>
        <v>0</v>
      </c>
      <c r="K20" s="318">
        <f>J20-I20</f>
        <v>0</v>
      </c>
      <c r="L20" s="269"/>
      <c r="M20" s="183"/>
      <c r="N20" s="318">
        <f t="shared" si="8"/>
        <v>0</v>
      </c>
      <c r="O20" s="182"/>
      <c r="P20" s="183"/>
      <c r="Q20" s="86">
        <f t="shared" si="3"/>
        <v>0</v>
      </c>
      <c r="R20" s="86">
        <f t="shared" si="4"/>
        <v>0</v>
      </c>
      <c r="S20" s="211" t="str">
        <f t="shared" si="5"/>
        <v xml:space="preserve"> </v>
      </c>
      <c r="T20" s="212" t="str">
        <f t="shared" si="6"/>
        <v xml:space="preserve"> </v>
      </c>
      <c r="U20" s="87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230" t="str">
        <f>IF(AJ40&lt;&gt;" "," ",IF(AH40&lt;&gt;"X"," ",IF(AND(AH40="x",Y36&lt;=Y32),"  Überschreitet die monatliche IST-Arbeitszeit  "&amp;W32&amp;" Std.  "&amp;X32&amp;" Min.,"," ")))</f>
        <v xml:space="preserve"> </v>
      </c>
      <c r="AK20" s="26"/>
      <c r="AL20" s="94" t="s">
        <v>48</v>
      </c>
      <c r="AM20" s="95"/>
      <c r="AO20" s="21">
        <f>AM23</f>
        <v>0</v>
      </c>
      <c r="AP20" s="22">
        <f>AN23</f>
        <v>0</v>
      </c>
    </row>
    <row r="21" spans="1:44" ht="12.75" customHeight="1" x14ac:dyDescent="0.2">
      <c r="A21" s="83" t="str">
        <f>IF(D21=" "," ","Sa")</f>
        <v xml:space="preserve"> </v>
      </c>
      <c r="B21" s="84" t="e">
        <f>IF(B20=1,1,IF(C10=7,1,0))</f>
        <v>#N/A</v>
      </c>
      <c r="C21" s="84" t="e">
        <f>IF(B20&gt;=1,C20+1,IF(AND(B21=1,C10=7),C20+1,0))</f>
        <v>#N/A</v>
      </c>
      <c r="D21" s="85" t="str">
        <f t="shared" si="7"/>
        <v xml:space="preserve"> </v>
      </c>
      <c r="E21" s="182"/>
      <c r="F21" s="183"/>
      <c r="G21" s="182"/>
      <c r="H21" s="183"/>
      <c r="I21" s="318">
        <f>(E21*60)+F21</f>
        <v>0</v>
      </c>
      <c r="J21" s="318">
        <f>(G21*60)+H21</f>
        <v>0</v>
      </c>
      <c r="K21" s="318">
        <f>J21-I21</f>
        <v>0</v>
      </c>
      <c r="L21" s="269"/>
      <c r="M21" s="183"/>
      <c r="N21" s="318">
        <f t="shared" si="8"/>
        <v>0</v>
      </c>
      <c r="O21" s="182"/>
      <c r="P21" s="183"/>
      <c r="Q21" s="86">
        <f t="shared" si="3"/>
        <v>0</v>
      </c>
      <c r="R21" s="86">
        <f t="shared" si="4"/>
        <v>0</v>
      </c>
      <c r="S21" s="211" t="str">
        <f t="shared" si="5"/>
        <v xml:space="preserve"> </v>
      </c>
      <c r="T21" s="212" t="str">
        <f t="shared" si="6"/>
        <v xml:space="preserve"> </v>
      </c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230" t="str">
        <f>IF(AJ20=" "," ","  entsteht ein Auszahlungsanspruch für die Mehrarbeitsstunden.")</f>
        <v xml:space="preserve"> </v>
      </c>
      <c r="AK21" s="26"/>
      <c r="AL21" s="26"/>
      <c r="AM21" s="88">
        <f>ROUND(167.4*AM16/100,2)</f>
        <v>0</v>
      </c>
      <c r="AN21" s="93"/>
      <c r="AO21" s="21"/>
      <c r="AP21" s="22"/>
    </row>
    <row r="22" spans="1:44" ht="12.75" customHeight="1" thickBot="1" x14ac:dyDescent="0.25">
      <c r="A22" s="83" t="str">
        <f>IF(D22=" "," ","So")</f>
        <v xml:space="preserve"> </v>
      </c>
      <c r="B22" s="84" t="e">
        <f>IF(B21=1,1,IF(C10=1,1,0))</f>
        <v>#N/A</v>
      </c>
      <c r="C22" s="84" t="e">
        <f>IF(B21&gt;=1,C21+1,IF(AND(B22=1,C10=1),C21+1,0))</f>
        <v>#N/A</v>
      </c>
      <c r="D22" s="85" t="str">
        <f t="shared" si="7"/>
        <v xml:space="preserve"> </v>
      </c>
      <c r="E22" s="182"/>
      <c r="F22" s="183"/>
      <c r="G22" s="182"/>
      <c r="H22" s="183"/>
      <c r="I22" s="318">
        <f t="shared" si="0"/>
        <v>0</v>
      </c>
      <c r="J22" s="318">
        <f t="shared" si="1"/>
        <v>0</v>
      </c>
      <c r="K22" s="318">
        <f t="shared" si="2"/>
        <v>0</v>
      </c>
      <c r="L22" s="269"/>
      <c r="M22" s="183"/>
      <c r="N22" s="318">
        <f t="shared" si="8"/>
        <v>0</v>
      </c>
      <c r="O22" s="182"/>
      <c r="P22" s="183"/>
      <c r="Q22" s="86">
        <f t="shared" si="3"/>
        <v>0</v>
      </c>
      <c r="R22" s="96">
        <f t="shared" si="4"/>
        <v>0</v>
      </c>
      <c r="S22" s="211" t="str">
        <f t="shared" si="5"/>
        <v xml:space="preserve"> </v>
      </c>
      <c r="T22" s="212" t="str">
        <f t="shared" si="6"/>
        <v xml:space="preserve"> </v>
      </c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231" t="str">
        <f>IF(AJ20=" "," ","      !! Achtung,  erhöhte Personalausgaben !!")</f>
        <v xml:space="preserve"> </v>
      </c>
      <c r="AK22" s="26"/>
      <c r="AL22" s="97"/>
      <c r="AM22" s="95"/>
      <c r="AN22" s="93"/>
      <c r="AO22" s="21"/>
      <c r="AP22" s="22"/>
    </row>
    <row r="23" spans="1:44" ht="12.75" customHeight="1" thickBot="1" x14ac:dyDescent="0.25">
      <c r="A23" s="98"/>
      <c r="B23" s="99"/>
      <c r="C23" s="100"/>
      <c r="D23" s="101"/>
      <c r="E23" s="15"/>
      <c r="F23" s="15"/>
      <c r="G23" s="15"/>
      <c r="H23" s="15"/>
      <c r="I23" s="17"/>
      <c r="J23" s="17"/>
      <c r="K23" s="17"/>
      <c r="L23" s="15"/>
      <c r="M23" s="15"/>
      <c r="N23" s="17"/>
      <c r="O23" s="15"/>
      <c r="P23" s="15"/>
      <c r="Q23" s="102"/>
      <c r="R23" s="103">
        <f>(SUM(S16:S22)*60)+SUM(T16:T22)</f>
        <v>0</v>
      </c>
      <c r="S23" s="211">
        <f>INT(R23/60)</f>
        <v>0</v>
      </c>
      <c r="T23" s="212">
        <f>MOD(R23,60)</f>
        <v>0</v>
      </c>
      <c r="U23" s="280" t="s">
        <v>58</v>
      </c>
      <c r="V23" s="321" t="s">
        <v>88</v>
      </c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229" t="str">
        <f>IF(AJ40&lt;&gt;" "," ",IF(AND(AJ25=" ",AJ55=" ")," ","  !! Erhöhte Personalausgaben !!"))</f>
        <v xml:space="preserve"> </v>
      </c>
      <c r="AK23" s="26"/>
      <c r="AL23" s="26"/>
      <c r="AM23" s="26">
        <f>INT(AN21/60)</f>
        <v>0</v>
      </c>
      <c r="AN23" s="93">
        <f>MOD(AN21,60)</f>
        <v>0</v>
      </c>
    </row>
    <row r="24" spans="1:44" ht="3.95" customHeight="1" x14ac:dyDescent="0.2">
      <c r="A24" s="78"/>
      <c r="B24" s="99"/>
      <c r="C24" s="100"/>
      <c r="D24" s="101"/>
      <c r="E24" s="15"/>
      <c r="F24" s="15"/>
      <c r="G24" s="15"/>
      <c r="H24" s="15"/>
      <c r="I24" s="17"/>
      <c r="J24" s="17"/>
      <c r="K24" s="17"/>
      <c r="L24" s="15"/>
      <c r="M24" s="15"/>
      <c r="N24" s="17"/>
      <c r="O24" s="15"/>
      <c r="P24" s="15"/>
      <c r="Q24" s="102"/>
      <c r="R24" s="102"/>
      <c r="S24" s="213"/>
      <c r="T24" s="214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227"/>
      <c r="AK24" s="26"/>
      <c r="AL24" s="26"/>
      <c r="AM24" s="26"/>
      <c r="AN24" s="93"/>
    </row>
    <row r="25" spans="1:44" ht="12.75" customHeight="1" x14ac:dyDescent="0.2">
      <c r="A25" s="83" t="str">
        <f>IF(D25=" "," ","Mo")</f>
        <v xml:space="preserve"> </v>
      </c>
      <c r="B25" s="84">
        <v>1</v>
      </c>
      <c r="C25" s="84" t="e">
        <f>C22+1</f>
        <v>#N/A</v>
      </c>
      <c r="D25" s="85" t="str">
        <f t="shared" ref="D25:D31" si="9">IF($G$3=0," ",C25)</f>
        <v xml:space="preserve"> </v>
      </c>
      <c r="E25" s="182"/>
      <c r="F25" s="183"/>
      <c r="G25" s="182"/>
      <c r="H25" s="183"/>
      <c r="I25" s="318">
        <f t="shared" ref="I25:I31" si="10">(E25*60)+F25</f>
        <v>0</v>
      </c>
      <c r="J25" s="318">
        <f t="shared" ref="J25:J31" si="11">(G25*60)+H25</f>
        <v>0</v>
      </c>
      <c r="K25" s="318">
        <f t="shared" ref="K25:K31" si="12">J25-I25</f>
        <v>0</v>
      </c>
      <c r="L25" s="269"/>
      <c r="M25" s="183"/>
      <c r="N25" s="318">
        <f>IF(OR(L25="U",OR(L25="F",OR(L25="K",L25="A"))),0,(L25*60)+M25)</f>
        <v>0</v>
      </c>
      <c r="O25" s="182"/>
      <c r="P25" s="183"/>
      <c r="Q25" s="86">
        <f t="shared" ref="Q25:Q31" si="13">(O25*60)+P25</f>
        <v>0</v>
      </c>
      <c r="R25" s="86">
        <f t="shared" ref="R25:R31" si="14">K25-N25-Q25</f>
        <v>0</v>
      </c>
      <c r="S25" s="211" t="str">
        <f t="shared" ref="S25:S31" si="15">IF(E25=0," ",INT(R25/60))</f>
        <v xml:space="preserve"> </v>
      </c>
      <c r="T25" s="212" t="str">
        <f t="shared" ref="T25:T31" si="16">IF(E25=0," ",MOD(R25,60))</f>
        <v xml:space="preserve"> </v>
      </c>
      <c r="U25" s="309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228" t="str">
        <f>IF(AJ40&lt;&gt;" "," ",IF(Y32=0," ",IF(AF40&lt;&gt;"x"," ",IF(AF40="X",IF(Y50&gt;0,"  !! Achtung, die Höchstgrenze für die Übertragung von Mehrarbeitsstunden"," ")))))</f>
        <v xml:space="preserve"> </v>
      </c>
      <c r="AK25" s="26"/>
      <c r="AL25" s="27"/>
      <c r="AM25" s="27"/>
      <c r="AN25" s="45"/>
    </row>
    <row r="26" spans="1:44" ht="12.75" customHeight="1" x14ac:dyDescent="0.2">
      <c r="A26" s="83" t="str">
        <f>IF(D26=" "," ","Di")</f>
        <v xml:space="preserve"> </v>
      </c>
      <c r="B26" s="84">
        <f t="shared" ref="B26:B31" si="17">IF(B25=1,1,IF(C15=1,1,0))</f>
        <v>1</v>
      </c>
      <c r="C26" s="84" t="e">
        <f t="shared" ref="C26:C31" si="18">C25+1</f>
        <v>#N/A</v>
      </c>
      <c r="D26" s="85" t="str">
        <f t="shared" si="9"/>
        <v xml:space="preserve"> </v>
      </c>
      <c r="E26" s="182"/>
      <c r="F26" s="183"/>
      <c r="G26" s="182"/>
      <c r="H26" s="183"/>
      <c r="I26" s="318">
        <f t="shared" si="10"/>
        <v>0</v>
      </c>
      <c r="J26" s="318">
        <f t="shared" si="11"/>
        <v>0</v>
      </c>
      <c r="K26" s="318">
        <f t="shared" si="12"/>
        <v>0</v>
      </c>
      <c r="L26" s="269"/>
      <c r="M26" s="183"/>
      <c r="N26" s="318">
        <f t="shared" ref="N26:N31" si="19">IF(OR(L26="U",OR(L26="F",OR(L26="K",L26="A"))),0,(L26*60)+M26)</f>
        <v>0</v>
      </c>
      <c r="O26" s="182"/>
      <c r="P26" s="183"/>
      <c r="Q26" s="86">
        <f t="shared" si="13"/>
        <v>0</v>
      </c>
      <c r="R26" s="86">
        <f t="shared" si="14"/>
        <v>0</v>
      </c>
      <c r="S26" s="211" t="str">
        <f t="shared" si="15"/>
        <v xml:space="preserve"> </v>
      </c>
      <c r="T26" s="212" t="str">
        <f t="shared" si="16"/>
        <v xml:space="preserve"> </v>
      </c>
      <c r="U26" s="87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228" t="str">
        <f>IF(AJ25=" "," ","      auf ein Arbeitszeitkonto ist überschritten !!")</f>
        <v xml:space="preserve"> </v>
      </c>
      <c r="AK26" s="26"/>
      <c r="AL26" s="27"/>
      <c r="AM26" s="27"/>
      <c r="AN26" s="45"/>
    </row>
    <row r="27" spans="1:44" ht="12.75" customHeight="1" x14ac:dyDescent="0.2">
      <c r="A27" s="83" t="str">
        <f>IF(D27=" "," ","Mi")</f>
        <v xml:space="preserve"> </v>
      </c>
      <c r="B27" s="84">
        <f t="shared" si="17"/>
        <v>1</v>
      </c>
      <c r="C27" s="84" t="e">
        <f t="shared" si="18"/>
        <v>#N/A</v>
      </c>
      <c r="D27" s="85" t="str">
        <f t="shared" si="9"/>
        <v xml:space="preserve"> </v>
      </c>
      <c r="E27" s="182"/>
      <c r="F27" s="183"/>
      <c r="G27" s="182"/>
      <c r="H27" s="183"/>
      <c r="I27" s="318">
        <f t="shared" si="10"/>
        <v>0</v>
      </c>
      <c r="J27" s="318">
        <f t="shared" si="11"/>
        <v>0</v>
      </c>
      <c r="K27" s="318">
        <f t="shared" si="12"/>
        <v>0</v>
      </c>
      <c r="L27" s="269"/>
      <c r="M27" s="183"/>
      <c r="N27" s="318">
        <f t="shared" si="19"/>
        <v>0</v>
      </c>
      <c r="O27" s="182"/>
      <c r="P27" s="183"/>
      <c r="Q27" s="86">
        <f>(O27*60)+P27</f>
        <v>0</v>
      </c>
      <c r="R27" s="86">
        <f t="shared" si="14"/>
        <v>0</v>
      </c>
      <c r="S27" s="211" t="str">
        <f t="shared" si="15"/>
        <v xml:space="preserve"> </v>
      </c>
      <c r="T27" s="212" t="str">
        <f t="shared" si="16"/>
        <v xml:space="preserve"> </v>
      </c>
      <c r="U27" s="87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228" t="str">
        <f>IF(AJ23=" "," ","      siehe Hinweis unten !!")</f>
        <v xml:space="preserve"> </v>
      </c>
      <c r="AK27" s="106"/>
      <c r="AL27" s="107" t="s">
        <v>19</v>
      </c>
      <c r="AM27" s="108"/>
      <c r="AN27" s="109"/>
      <c r="AP27" s="110" t="s">
        <v>20</v>
      </c>
      <c r="AQ27" s="111"/>
      <c r="AR27" s="111" t="s">
        <v>21</v>
      </c>
    </row>
    <row r="28" spans="1:44" ht="12.75" customHeight="1" x14ac:dyDescent="0.2">
      <c r="A28" s="83" t="str">
        <f>IF(D28=" "," ","Do")</f>
        <v xml:space="preserve"> </v>
      </c>
      <c r="B28" s="84">
        <f t="shared" si="17"/>
        <v>1</v>
      </c>
      <c r="C28" s="84" t="e">
        <f t="shared" si="18"/>
        <v>#N/A</v>
      </c>
      <c r="D28" s="85" t="str">
        <f t="shared" si="9"/>
        <v xml:space="preserve"> </v>
      </c>
      <c r="E28" s="182"/>
      <c r="F28" s="183"/>
      <c r="G28" s="182"/>
      <c r="H28" s="183"/>
      <c r="I28" s="318">
        <f t="shared" si="10"/>
        <v>0</v>
      </c>
      <c r="J28" s="318">
        <f t="shared" si="11"/>
        <v>0</v>
      </c>
      <c r="K28" s="318">
        <f t="shared" si="12"/>
        <v>0</v>
      </c>
      <c r="L28" s="269"/>
      <c r="M28" s="183"/>
      <c r="N28" s="318">
        <f t="shared" si="19"/>
        <v>0</v>
      </c>
      <c r="O28" s="182"/>
      <c r="P28" s="183"/>
      <c r="Q28" s="86">
        <f t="shared" si="13"/>
        <v>0</v>
      </c>
      <c r="R28" s="86">
        <f t="shared" si="14"/>
        <v>0</v>
      </c>
      <c r="S28" s="211" t="str">
        <f t="shared" si="15"/>
        <v xml:space="preserve"> </v>
      </c>
      <c r="T28" s="212" t="str">
        <f t="shared" si="16"/>
        <v xml:space="preserve"> </v>
      </c>
      <c r="U28" s="87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227"/>
      <c r="AK28" s="106"/>
      <c r="AL28" s="112" t="s">
        <v>22</v>
      </c>
      <c r="AM28" s="113"/>
      <c r="AN28" s="114" t="s">
        <v>23</v>
      </c>
      <c r="AP28" s="115"/>
      <c r="AQ28" s="116"/>
      <c r="AR28" s="116"/>
    </row>
    <row r="29" spans="1:44" ht="12.75" customHeight="1" x14ac:dyDescent="0.2">
      <c r="A29" s="83" t="str">
        <f>IF(D29=" "," ","Fr")</f>
        <v xml:space="preserve"> </v>
      </c>
      <c r="B29" s="84">
        <f t="shared" si="17"/>
        <v>1</v>
      </c>
      <c r="C29" s="84" t="e">
        <f t="shared" si="18"/>
        <v>#N/A</v>
      </c>
      <c r="D29" s="85" t="str">
        <f t="shared" si="9"/>
        <v xml:space="preserve"> </v>
      </c>
      <c r="E29" s="182"/>
      <c r="F29" s="183"/>
      <c r="G29" s="182"/>
      <c r="H29" s="183"/>
      <c r="I29" s="318">
        <f t="shared" si="10"/>
        <v>0</v>
      </c>
      <c r="J29" s="318">
        <f t="shared" si="11"/>
        <v>0</v>
      </c>
      <c r="K29" s="318">
        <f t="shared" si="12"/>
        <v>0</v>
      </c>
      <c r="L29" s="269"/>
      <c r="M29" s="183"/>
      <c r="N29" s="318">
        <f t="shared" si="19"/>
        <v>0</v>
      </c>
      <c r="O29" s="182"/>
      <c r="P29" s="183"/>
      <c r="Q29" s="86">
        <f t="shared" si="13"/>
        <v>0</v>
      </c>
      <c r="R29" s="86">
        <f t="shared" si="14"/>
        <v>0</v>
      </c>
      <c r="S29" s="211" t="str">
        <f t="shared" si="15"/>
        <v xml:space="preserve"> </v>
      </c>
      <c r="T29" s="212" t="str">
        <f t="shared" si="16"/>
        <v xml:space="preserve"> </v>
      </c>
      <c r="U29" s="87"/>
      <c r="V29" s="235" t="s">
        <v>53</v>
      </c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4"/>
      <c r="AJ29" s="227"/>
      <c r="AK29" s="117"/>
      <c r="AL29" s="118">
        <f>M3</f>
        <v>0</v>
      </c>
      <c r="AM29" s="119"/>
      <c r="AN29" s="120"/>
      <c r="AP29" s="110" t="s">
        <v>24</v>
      </c>
      <c r="AQ29" s="111">
        <v>4</v>
      </c>
      <c r="AR29" s="111">
        <v>30</v>
      </c>
    </row>
    <row r="30" spans="1:44" ht="12.75" customHeight="1" x14ac:dyDescent="0.2">
      <c r="A30" s="83" t="str">
        <f>IF(D30=" "," ","Sa")</f>
        <v xml:space="preserve"> </v>
      </c>
      <c r="B30" s="84">
        <f t="shared" si="17"/>
        <v>1</v>
      </c>
      <c r="C30" s="84" t="e">
        <f t="shared" si="18"/>
        <v>#N/A</v>
      </c>
      <c r="D30" s="85" t="str">
        <f t="shared" si="9"/>
        <v xml:space="preserve"> </v>
      </c>
      <c r="E30" s="182"/>
      <c r="F30" s="183"/>
      <c r="G30" s="182"/>
      <c r="H30" s="183"/>
      <c r="I30" s="318">
        <f>(E30*60)+F30</f>
        <v>0</v>
      </c>
      <c r="J30" s="318">
        <f>(G30*60)+H30</f>
        <v>0</v>
      </c>
      <c r="K30" s="318">
        <f>J30-I30</f>
        <v>0</v>
      </c>
      <c r="L30" s="269"/>
      <c r="M30" s="183"/>
      <c r="N30" s="318">
        <f t="shared" si="19"/>
        <v>0</v>
      </c>
      <c r="O30" s="182"/>
      <c r="P30" s="183"/>
      <c r="Q30" s="86">
        <f t="shared" si="13"/>
        <v>0</v>
      </c>
      <c r="R30" s="86">
        <f t="shared" si="14"/>
        <v>0</v>
      </c>
      <c r="S30" s="211" t="str">
        <f t="shared" si="15"/>
        <v xml:space="preserve"> </v>
      </c>
      <c r="T30" s="212" t="str">
        <f t="shared" si="16"/>
        <v xml:space="preserve"> </v>
      </c>
      <c r="U30" s="87"/>
      <c r="V30" s="236"/>
      <c r="W30" s="124" t="s">
        <v>11</v>
      </c>
      <c r="X30" s="125" t="s">
        <v>14</v>
      </c>
      <c r="Y30" s="237" t="s">
        <v>13</v>
      </c>
      <c r="Z30" s="237"/>
      <c r="AA30" s="237"/>
      <c r="AB30" s="237"/>
      <c r="AC30" s="237"/>
      <c r="AD30" s="238"/>
      <c r="AE30" s="238"/>
      <c r="AF30" s="238"/>
      <c r="AG30" s="238"/>
      <c r="AH30" s="238"/>
      <c r="AI30" s="239"/>
      <c r="AJ30" s="227"/>
      <c r="AK30" s="121">
        <v>1</v>
      </c>
      <c r="AL30" s="121">
        <v>1</v>
      </c>
      <c r="AM30" s="122">
        <f>DATE(AL29,AL30,AK30)</f>
        <v>1</v>
      </c>
      <c r="AN30" s="123">
        <f t="shared" ref="AN30:AN41" si="20">WEEKDAY(AM30)</f>
        <v>1</v>
      </c>
      <c r="AP30" s="110" t="s">
        <v>25</v>
      </c>
      <c r="AQ30" s="111">
        <v>8</v>
      </c>
      <c r="AR30" s="111">
        <v>31</v>
      </c>
    </row>
    <row r="31" spans="1:44" ht="12.75" customHeight="1" thickBot="1" x14ac:dyDescent="0.25">
      <c r="A31" s="83" t="str">
        <f>IF(D31=" "," ","So")</f>
        <v xml:space="preserve"> </v>
      </c>
      <c r="B31" s="84">
        <f t="shared" si="17"/>
        <v>1</v>
      </c>
      <c r="C31" s="84" t="e">
        <f t="shared" si="18"/>
        <v>#N/A</v>
      </c>
      <c r="D31" s="85" t="str">
        <f t="shared" si="9"/>
        <v xml:space="preserve"> </v>
      </c>
      <c r="E31" s="182"/>
      <c r="F31" s="183"/>
      <c r="G31" s="182"/>
      <c r="H31" s="183"/>
      <c r="I31" s="318">
        <f t="shared" si="10"/>
        <v>0</v>
      </c>
      <c r="J31" s="318">
        <f t="shared" si="11"/>
        <v>0</v>
      </c>
      <c r="K31" s="318">
        <f t="shared" si="12"/>
        <v>0</v>
      </c>
      <c r="L31" s="269"/>
      <c r="M31" s="183"/>
      <c r="N31" s="318">
        <f t="shared" si="19"/>
        <v>0</v>
      </c>
      <c r="O31" s="182"/>
      <c r="P31" s="183"/>
      <c r="Q31" s="86">
        <f t="shared" si="13"/>
        <v>0</v>
      </c>
      <c r="R31" s="96">
        <f t="shared" si="14"/>
        <v>0</v>
      </c>
      <c r="S31" s="211" t="str">
        <f t="shared" si="15"/>
        <v xml:space="preserve"> </v>
      </c>
      <c r="T31" s="212" t="str">
        <f t="shared" si="16"/>
        <v xml:space="preserve"> </v>
      </c>
      <c r="U31" s="87"/>
      <c r="V31" s="128" t="s">
        <v>49</v>
      </c>
      <c r="W31" s="129"/>
      <c r="X31" s="105"/>
      <c r="Y31" s="190"/>
      <c r="Z31" s="191"/>
      <c r="AA31" s="191"/>
      <c r="AB31" s="191"/>
      <c r="AC31" s="191"/>
      <c r="AD31" s="129"/>
      <c r="AE31" s="129"/>
      <c r="AF31" s="129"/>
      <c r="AG31" s="129"/>
      <c r="AH31" s="129"/>
      <c r="AI31" s="130"/>
      <c r="AJ31" s="227"/>
      <c r="AK31" s="121">
        <v>1</v>
      </c>
      <c r="AL31" s="121">
        <v>2</v>
      </c>
      <c r="AM31" s="122">
        <f>DATE(AL29,AL31,AK31)</f>
        <v>32</v>
      </c>
      <c r="AN31" s="123">
        <f t="shared" si="20"/>
        <v>4</v>
      </c>
      <c r="AP31" s="110" t="s">
        <v>26</v>
      </c>
      <c r="AQ31" s="111">
        <v>12</v>
      </c>
      <c r="AR31" s="111">
        <v>31</v>
      </c>
    </row>
    <row r="32" spans="1:44" ht="12.75" customHeight="1" thickBot="1" x14ac:dyDescent="0.25">
      <c r="A32" s="98"/>
      <c r="B32" s="99"/>
      <c r="C32" s="100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103">
        <f>(SUM(S25:S31)*60)+SUM(T25:T31)</f>
        <v>0</v>
      </c>
      <c r="S32" s="211">
        <f>INT(R32/60)</f>
        <v>0</v>
      </c>
      <c r="T32" s="212">
        <f>MOD(R32,60)</f>
        <v>0</v>
      </c>
      <c r="U32" s="104"/>
      <c r="V32" s="131"/>
      <c r="W32" s="132">
        <f>IF(AND(V5=0,X5=0)," ",INT(Y32/60))</f>
        <v>0</v>
      </c>
      <c r="X32" s="132">
        <f>IF(AND(V5=0,X5=0)," ",MOD(Y32,60))</f>
        <v>0</v>
      </c>
      <c r="Y32" s="192">
        <f>ROUND(Y5*167.4/38.5,0)</f>
        <v>0</v>
      </c>
      <c r="Z32" s="189"/>
      <c r="AA32" s="191"/>
      <c r="AB32" s="191"/>
      <c r="AC32" s="191"/>
      <c r="AD32" s="325" t="str">
        <f>IF(AND(V5=0,X5=0)," ","(= "&amp;W32&amp;",")</f>
        <v>(= 0,</v>
      </c>
      <c r="AE32" s="325"/>
      <c r="AF32" s="333">
        <f>IF(AND(V5=0,X5=0)," ",ROUND(X32/60*100,2))</f>
        <v>0</v>
      </c>
      <c r="AG32" s="333"/>
      <c r="AH32" s="129"/>
      <c r="AI32" s="130"/>
      <c r="AJ32" s="247" t="str">
        <f>IF(AND(V5=0,X5=0),"oben vertragliche Wochenarbeitszeit eintragen"," ")</f>
        <v xml:space="preserve"> </v>
      </c>
      <c r="AK32" s="122">
        <v>1</v>
      </c>
      <c r="AL32" s="122">
        <v>3</v>
      </c>
      <c r="AM32" s="122">
        <f>DATE(AL29,AL32,AK32)</f>
        <v>61</v>
      </c>
      <c r="AN32" s="123">
        <f t="shared" si="20"/>
        <v>5</v>
      </c>
      <c r="AP32" s="110" t="s">
        <v>27</v>
      </c>
      <c r="AQ32" s="111">
        <v>2</v>
      </c>
      <c r="AR32" s="111">
        <f>IF(AL29=2012,29,IF(AL29=2016,29,IF(AL29=2020,29,IF(AL29=2024,29,IF(AL29=2028,29,IF(AL29=2032,29,IF(AL29=2036,29,28)))))))</f>
        <v>28</v>
      </c>
    </row>
    <row r="33" spans="1:48" ht="3.95" customHeight="1" x14ac:dyDescent="0.2">
      <c r="A33" s="78"/>
      <c r="B33" s="99"/>
      <c r="C33" s="100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  <c r="R33" s="102"/>
      <c r="S33" s="213"/>
      <c r="T33" s="214"/>
      <c r="U33" s="104"/>
      <c r="V33" s="127"/>
      <c r="W33" s="87"/>
      <c r="X33" s="105" t="str">
        <f>IF(AND(AB33=0,AC33=0)," ",AB33)</f>
        <v xml:space="preserve"> </v>
      </c>
      <c r="Y33" s="193"/>
      <c r="Z33" s="191"/>
      <c r="AA33" s="191"/>
      <c r="AB33" s="191"/>
      <c r="AC33" s="191"/>
      <c r="AD33" s="105" t="str">
        <f>IF(AND(AB33=0,AC33=0)," ",AC33)</f>
        <v xml:space="preserve"> </v>
      </c>
      <c r="AE33" s="74"/>
      <c r="AF33" s="74"/>
      <c r="AG33" s="74"/>
      <c r="AH33" s="74"/>
      <c r="AI33" s="130"/>
      <c r="AJ33" s="246"/>
      <c r="AK33" s="122">
        <v>1</v>
      </c>
      <c r="AL33" s="122">
        <v>4</v>
      </c>
      <c r="AM33" s="122">
        <f>DATE(AL29,AL33,AK33)</f>
        <v>92</v>
      </c>
      <c r="AN33" s="123">
        <f t="shared" si="20"/>
        <v>1</v>
      </c>
      <c r="AP33" s="110" t="s">
        <v>28</v>
      </c>
      <c r="AQ33" s="111">
        <v>1</v>
      </c>
      <c r="AR33" s="111">
        <v>31</v>
      </c>
    </row>
    <row r="34" spans="1:48" ht="12.75" customHeight="1" x14ac:dyDescent="0.2">
      <c r="A34" s="83" t="str">
        <f>IF(D34=" "," ","Mo")</f>
        <v xml:space="preserve"> </v>
      </c>
      <c r="B34" s="84">
        <v>1</v>
      </c>
      <c r="C34" s="84" t="e">
        <f>C31+1</f>
        <v>#N/A</v>
      </c>
      <c r="D34" s="85" t="str">
        <f t="shared" ref="D34:D40" si="21">IF($G$3=0," ",C34)</f>
        <v xml:space="preserve"> </v>
      </c>
      <c r="E34" s="182"/>
      <c r="F34" s="183"/>
      <c r="G34" s="182"/>
      <c r="H34" s="183"/>
      <c r="I34" s="318">
        <f t="shared" ref="I34:I40" si="22">(E34*60)+F34</f>
        <v>0</v>
      </c>
      <c r="J34" s="318">
        <f t="shared" ref="J34:J40" si="23">(G34*60)+H34</f>
        <v>0</v>
      </c>
      <c r="K34" s="318">
        <f t="shared" ref="K34:K40" si="24">J34-I34</f>
        <v>0</v>
      </c>
      <c r="L34" s="269"/>
      <c r="M34" s="183"/>
      <c r="N34" s="318">
        <f>IF(OR(L34="U",OR(L34="F",OR(L34="K",L34="A"))),0,(L34*60)+M34)</f>
        <v>0</v>
      </c>
      <c r="O34" s="182"/>
      <c r="P34" s="183"/>
      <c r="Q34" s="86">
        <f t="shared" ref="Q34:Q40" si="25">(O34*60)+P34</f>
        <v>0</v>
      </c>
      <c r="R34" s="86">
        <f t="shared" ref="R34:R40" si="26">K34-N34-Q34</f>
        <v>0</v>
      </c>
      <c r="S34" s="211" t="str">
        <f t="shared" ref="S34:S40" si="27">IF(E34=0," ",INT(R34/60))</f>
        <v xml:space="preserve"> </v>
      </c>
      <c r="T34" s="212" t="str">
        <f t="shared" ref="T34:T40" si="28">IF(E34=0," ",MOD(R34,60))</f>
        <v xml:space="preserve"> </v>
      </c>
      <c r="U34" s="87"/>
      <c r="V34" s="131"/>
      <c r="W34" s="129"/>
      <c r="X34" s="129"/>
      <c r="Y34" s="189"/>
      <c r="Z34" s="204" t="s">
        <v>57</v>
      </c>
      <c r="AA34" s="205"/>
      <c r="AB34" s="206"/>
      <c r="AC34" s="189"/>
      <c r="AD34" s="129"/>
      <c r="AE34" s="74"/>
      <c r="AF34" s="74"/>
      <c r="AG34" s="74"/>
      <c r="AH34" s="74"/>
      <c r="AI34" s="130"/>
      <c r="AJ34" s="246"/>
      <c r="AK34" s="122">
        <v>1</v>
      </c>
      <c r="AL34" s="122">
        <v>5</v>
      </c>
      <c r="AM34" s="122">
        <f>DATE(AL29,AL34,AK34)</f>
        <v>122</v>
      </c>
      <c r="AN34" s="123">
        <f t="shared" si="20"/>
        <v>3</v>
      </c>
      <c r="AP34" s="110" t="s">
        <v>29</v>
      </c>
      <c r="AQ34" s="111">
        <v>7</v>
      </c>
      <c r="AR34" s="111">
        <v>31</v>
      </c>
    </row>
    <row r="35" spans="1:48" ht="12.75" customHeight="1" x14ac:dyDescent="0.2">
      <c r="A35" s="83" t="str">
        <f>IF(D35=" "," ","Di")</f>
        <v xml:space="preserve"> </v>
      </c>
      <c r="B35" s="84">
        <f t="shared" ref="B35:B40" si="29">IF(B34=1,1,IF(C24=1,1,0))</f>
        <v>1</v>
      </c>
      <c r="C35" s="84" t="e">
        <f t="shared" ref="C35:C40" si="30">C34+1</f>
        <v>#N/A</v>
      </c>
      <c r="D35" s="85" t="str">
        <f t="shared" si="21"/>
        <v xml:space="preserve"> </v>
      </c>
      <c r="E35" s="182"/>
      <c r="F35" s="183"/>
      <c r="G35" s="182"/>
      <c r="H35" s="183"/>
      <c r="I35" s="318">
        <f>(E35*60)+F35</f>
        <v>0</v>
      </c>
      <c r="J35" s="318">
        <f>(G35*60)+H35</f>
        <v>0</v>
      </c>
      <c r="K35" s="318">
        <f>J35-I35</f>
        <v>0</v>
      </c>
      <c r="L35" s="269"/>
      <c r="M35" s="183"/>
      <c r="N35" s="318">
        <f t="shared" ref="N35:N40" si="31">IF(OR(L35="U",OR(L35="F",OR(L35="K",L35="A"))),0,(L35*60)+M35)</f>
        <v>0</v>
      </c>
      <c r="O35" s="182"/>
      <c r="P35" s="183"/>
      <c r="Q35" s="86">
        <f t="shared" si="25"/>
        <v>0</v>
      </c>
      <c r="R35" s="86">
        <f t="shared" si="26"/>
        <v>0</v>
      </c>
      <c r="S35" s="211" t="str">
        <f t="shared" si="27"/>
        <v xml:space="preserve"> </v>
      </c>
      <c r="T35" s="212" t="str">
        <f t="shared" si="28"/>
        <v xml:space="preserve"> </v>
      </c>
      <c r="U35" s="87"/>
      <c r="V35" s="128" t="s">
        <v>50</v>
      </c>
      <c r="W35" s="129"/>
      <c r="X35" s="105"/>
      <c r="Y35" s="193"/>
      <c r="Z35" s="207">
        <f>Y32+Y44</f>
        <v>0</v>
      </c>
      <c r="AA35" s="188">
        <f>INT(Z35/60)</f>
        <v>0</v>
      </c>
      <c r="AB35" s="208">
        <f>MOD(Z35,60)</f>
        <v>0</v>
      </c>
      <c r="AC35" s="191"/>
      <c r="AD35" s="105"/>
      <c r="AE35" s="129"/>
      <c r="AF35" s="129"/>
      <c r="AG35" s="129"/>
      <c r="AH35" s="129"/>
      <c r="AI35" s="130"/>
      <c r="AJ35" s="246"/>
      <c r="AK35" s="122">
        <v>1</v>
      </c>
      <c r="AL35" s="122">
        <v>6</v>
      </c>
      <c r="AM35" s="122">
        <f>DATE(AL29,AL35,AK35)</f>
        <v>153</v>
      </c>
      <c r="AN35" s="123">
        <f t="shared" si="20"/>
        <v>6</v>
      </c>
      <c r="AP35" s="110" t="s">
        <v>30</v>
      </c>
      <c r="AQ35" s="111">
        <v>6</v>
      </c>
      <c r="AR35" s="111">
        <v>30</v>
      </c>
      <c r="AV35" s="203"/>
    </row>
    <row r="36" spans="1:48" ht="12.75" customHeight="1" x14ac:dyDescent="0.2">
      <c r="A36" s="83" t="str">
        <f>IF(D36=" "," ","Mi")</f>
        <v xml:space="preserve"> </v>
      </c>
      <c r="B36" s="84">
        <f t="shared" si="29"/>
        <v>1</v>
      </c>
      <c r="C36" s="84" t="e">
        <f t="shared" si="30"/>
        <v>#N/A</v>
      </c>
      <c r="D36" s="85" t="str">
        <f t="shared" si="21"/>
        <v xml:space="preserve"> </v>
      </c>
      <c r="E36" s="182"/>
      <c r="F36" s="183"/>
      <c r="G36" s="182"/>
      <c r="H36" s="183"/>
      <c r="I36" s="318">
        <f>(E36*60)+F36</f>
        <v>0</v>
      </c>
      <c r="J36" s="318">
        <f>(G36*60)+H36</f>
        <v>0</v>
      </c>
      <c r="K36" s="318">
        <f>J36-I36</f>
        <v>0</v>
      </c>
      <c r="L36" s="269"/>
      <c r="M36" s="183"/>
      <c r="N36" s="318">
        <f t="shared" si="31"/>
        <v>0</v>
      </c>
      <c r="O36" s="182"/>
      <c r="P36" s="183"/>
      <c r="Q36" s="86">
        <f t="shared" si="25"/>
        <v>0</v>
      </c>
      <c r="R36" s="86">
        <f t="shared" si="26"/>
        <v>0</v>
      </c>
      <c r="S36" s="211" t="str">
        <f t="shared" si="27"/>
        <v xml:space="preserve"> </v>
      </c>
      <c r="T36" s="212" t="str">
        <f t="shared" si="28"/>
        <v xml:space="preserve"> </v>
      </c>
      <c r="U36" s="87"/>
      <c r="V36" s="127"/>
      <c r="W36" s="132">
        <f>IF(W32=" "," ",S72)</f>
        <v>0</v>
      </c>
      <c r="X36" s="132">
        <f>IF(X32=" "," ",T72)</f>
        <v>0</v>
      </c>
      <c r="Y36" s="192">
        <f>IF(W36=" ",0,(W36*60)+X36)</f>
        <v>0</v>
      </c>
      <c r="Z36" s="191"/>
      <c r="AA36" s="191"/>
      <c r="AB36" s="191"/>
      <c r="AC36" s="191"/>
      <c r="AD36" s="325"/>
      <c r="AE36" s="325"/>
      <c r="AF36" s="332"/>
      <c r="AG36" s="332"/>
      <c r="AH36" s="74"/>
      <c r="AI36" s="130"/>
      <c r="AJ36" s="230"/>
      <c r="AK36" s="122">
        <v>1</v>
      </c>
      <c r="AL36" s="122">
        <v>7</v>
      </c>
      <c r="AM36" s="122">
        <f>DATE(AL29,AL36,AK36)</f>
        <v>183</v>
      </c>
      <c r="AN36" s="123">
        <f t="shared" si="20"/>
        <v>1</v>
      </c>
      <c r="AP36" s="110" t="s">
        <v>31</v>
      </c>
      <c r="AQ36" s="111">
        <v>5</v>
      </c>
      <c r="AR36" s="111">
        <v>31</v>
      </c>
    </row>
    <row r="37" spans="1:48" ht="12.75" customHeight="1" x14ac:dyDescent="0.2">
      <c r="A37" s="83" t="str">
        <f>IF(D37=" "," ","Do")</f>
        <v xml:space="preserve"> </v>
      </c>
      <c r="B37" s="84">
        <f t="shared" si="29"/>
        <v>1</v>
      </c>
      <c r="C37" s="84" t="e">
        <f t="shared" si="30"/>
        <v>#N/A</v>
      </c>
      <c r="D37" s="85" t="str">
        <f t="shared" si="21"/>
        <v xml:space="preserve"> </v>
      </c>
      <c r="E37" s="182"/>
      <c r="F37" s="183"/>
      <c r="G37" s="182"/>
      <c r="H37" s="183"/>
      <c r="I37" s="318">
        <f>(E37*60)+F37</f>
        <v>0</v>
      </c>
      <c r="J37" s="318">
        <f>(G37*60)+H37</f>
        <v>0</v>
      </c>
      <c r="K37" s="318">
        <f>J37-I37</f>
        <v>0</v>
      </c>
      <c r="L37" s="269"/>
      <c r="M37" s="183"/>
      <c r="N37" s="318">
        <f t="shared" si="31"/>
        <v>0</v>
      </c>
      <c r="O37" s="182"/>
      <c r="P37" s="183"/>
      <c r="Q37" s="86">
        <f t="shared" si="25"/>
        <v>0</v>
      </c>
      <c r="R37" s="86">
        <f t="shared" si="26"/>
        <v>0</v>
      </c>
      <c r="S37" s="211" t="str">
        <f t="shared" si="27"/>
        <v xml:space="preserve"> </v>
      </c>
      <c r="T37" s="212" t="str">
        <f t="shared" si="28"/>
        <v xml:space="preserve"> </v>
      </c>
      <c r="U37" s="87"/>
      <c r="V37" s="131"/>
      <c r="W37" s="129"/>
      <c r="X37" s="129"/>
      <c r="Y37" s="189"/>
      <c r="Z37" s="189"/>
      <c r="AA37" s="189"/>
      <c r="AB37" s="189"/>
      <c r="AC37" s="189"/>
      <c r="AD37" s="129"/>
      <c r="AE37" s="129"/>
      <c r="AF37" s="129"/>
      <c r="AG37" s="129"/>
      <c r="AH37" s="129"/>
      <c r="AI37" s="130"/>
      <c r="AK37" s="122">
        <v>1</v>
      </c>
      <c r="AL37" s="134">
        <v>8</v>
      </c>
      <c r="AM37" s="122">
        <f>DATE(AL29,AL37,AK37)</f>
        <v>214</v>
      </c>
      <c r="AN37" s="123">
        <f t="shared" si="20"/>
        <v>4</v>
      </c>
      <c r="AP37" s="110" t="s">
        <v>32</v>
      </c>
      <c r="AQ37" s="111">
        <v>3</v>
      </c>
      <c r="AR37" s="111">
        <v>31</v>
      </c>
    </row>
    <row r="38" spans="1:48" ht="12.75" customHeight="1" x14ac:dyDescent="0.2">
      <c r="A38" s="83" t="str">
        <f>IF(D38=" "," ","Fr")</f>
        <v xml:space="preserve"> </v>
      </c>
      <c r="B38" s="84">
        <f t="shared" si="29"/>
        <v>1</v>
      </c>
      <c r="C38" s="84" t="e">
        <f t="shared" si="30"/>
        <v>#N/A</v>
      </c>
      <c r="D38" s="85" t="str">
        <f t="shared" si="21"/>
        <v xml:space="preserve"> </v>
      </c>
      <c r="E38" s="182"/>
      <c r="F38" s="183"/>
      <c r="G38" s="182"/>
      <c r="H38" s="183"/>
      <c r="I38" s="318">
        <f>(E38*60)+F38</f>
        <v>0</v>
      </c>
      <c r="J38" s="318">
        <f>(G38*60)+H38</f>
        <v>0</v>
      </c>
      <c r="K38" s="318">
        <f>J38-I38</f>
        <v>0</v>
      </c>
      <c r="L38" s="269"/>
      <c r="M38" s="183"/>
      <c r="N38" s="318">
        <f t="shared" si="31"/>
        <v>0</v>
      </c>
      <c r="O38" s="182"/>
      <c r="P38" s="183"/>
      <c r="Q38" s="86">
        <f t="shared" si="25"/>
        <v>0</v>
      </c>
      <c r="R38" s="86">
        <f t="shared" si="26"/>
        <v>0</v>
      </c>
      <c r="S38" s="211" t="str">
        <f t="shared" si="27"/>
        <v xml:space="preserve"> </v>
      </c>
      <c r="T38" s="212" t="str">
        <f t="shared" si="28"/>
        <v xml:space="preserve"> </v>
      </c>
      <c r="U38" s="87"/>
      <c r="V38" s="135" t="s">
        <v>62</v>
      </c>
      <c r="W38" s="129"/>
      <c r="X38" s="129"/>
      <c r="Y38" s="192">
        <f>Y36-Y32</f>
        <v>0</v>
      </c>
      <c r="Z38" s="194">
        <f>IF(Y38&lt;0,Y38*(-1),Y38)</f>
        <v>0</v>
      </c>
      <c r="AA38" s="191"/>
      <c r="AB38" s="191"/>
      <c r="AC38" s="191"/>
      <c r="AD38" s="244"/>
      <c r="AE38" s="326" t="s">
        <v>79</v>
      </c>
      <c r="AF38" s="326"/>
      <c r="AG38" s="326"/>
      <c r="AH38" s="326"/>
      <c r="AI38" s="327"/>
      <c r="AK38" s="122">
        <v>1</v>
      </c>
      <c r="AL38" s="122">
        <v>9</v>
      </c>
      <c r="AM38" s="122">
        <f>DATE(AL29,AL38,AK38)</f>
        <v>245</v>
      </c>
      <c r="AN38" s="123">
        <f t="shared" si="20"/>
        <v>7</v>
      </c>
      <c r="AP38" s="110" t="s">
        <v>33</v>
      </c>
      <c r="AQ38" s="111">
        <v>11</v>
      </c>
      <c r="AR38" s="111">
        <v>30</v>
      </c>
    </row>
    <row r="39" spans="1:48" ht="12.75" customHeight="1" x14ac:dyDescent="0.2">
      <c r="A39" s="83" t="str">
        <f>IF(D39=" "," ","Sa")</f>
        <v xml:space="preserve"> </v>
      </c>
      <c r="B39" s="84">
        <f t="shared" si="29"/>
        <v>1</v>
      </c>
      <c r="C39" s="84" t="e">
        <f t="shared" si="30"/>
        <v>#N/A</v>
      </c>
      <c r="D39" s="85" t="str">
        <f t="shared" si="21"/>
        <v xml:space="preserve"> </v>
      </c>
      <c r="E39" s="182"/>
      <c r="F39" s="183"/>
      <c r="G39" s="182"/>
      <c r="H39" s="183"/>
      <c r="I39" s="318">
        <f t="shared" si="22"/>
        <v>0</v>
      </c>
      <c r="J39" s="318">
        <f t="shared" si="23"/>
        <v>0</v>
      </c>
      <c r="K39" s="318">
        <f t="shared" si="24"/>
        <v>0</v>
      </c>
      <c r="L39" s="269"/>
      <c r="M39" s="183"/>
      <c r="N39" s="318">
        <f t="shared" si="31"/>
        <v>0</v>
      </c>
      <c r="O39" s="182"/>
      <c r="P39" s="183"/>
      <c r="Q39" s="86">
        <f t="shared" si="25"/>
        <v>0</v>
      </c>
      <c r="R39" s="86">
        <f t="shared" si="26"/>
        <v>0</v>
      </c>
      <c r="S39" s="211" t="str">
        <f t="shared" si="27"/>
        <v xml:space="preserve"> </v>
      </c>
      <c r="T39" s="212" t="str">
        <f t="shared" si="28"/>
        <v xml:space="preserve"> </v>
      </c>
      <c r="U39" s="87"/>
      <c r="V39" s="138" t="str">
        <f>IF(W36=" "," ",IF(Y38&lt;0,"–",IF(Y38&gt;0,"+"," ")))</f>
        <v xml:space="preserve"> </v>
      </c>
      <c r="W39" s="139">
        <f>IF(W36=" "," ",INT(Z38/60))</f>
        <v>0</v>
      </c>
      <c r="X39" s="139">
        <f>IF(W36=" "," ",MOD(Z38,60))</f>
        <v>0</v>
      </c>
      <c r="Y39" s="193"/>
      <c r="Z39" s="195"/>
      <c r="AA39" s="191"/>
      <c r="AB39" s="191"/>
      <c r="AC39" s="191"/>
      <c r="AD39" s="105" t="str">
        <f>IF(AND(AB39=0,AC39=0)," ",AC39)</f>
        <v xml:space="preserve"> </v>
      </c>
      <c r="AE39" s="326"/>
      <c r="AF39" s="326"/>
      <c r="AG39" s="326"/>
      <c r="AH39" s="326"/>
      <c r="AI39" s="327"/>
      <c r="AK39" s="122">
        <v>1</v>
      </c>
      <c r="AL39" s="122">
        <v>10</v>
      </c>
      <c r="AM39" s="122">
        <f>DATE(AL29,AL39,AK39)</f>
        <v>275</v>
      </c>
      <c r="AN39" s="123">
        <f t="shared" si="20"/>
        <v>2</v>
      </c>
      <c r="AP39" s="110" t="s">
        <v>34</v>
      </c>
      <c r="AQ39" s="111">
        <v>10</v>
      </c>
      <c r="AR39" s="111">
        <v>31</v>
      </c>
    </row>
    <row r="40" spans="1:48" ht="12.75" customHeight="1" thickBot="1" x14ac:dyDescent="0.25">
      <c r="A40" s="83" t="str">
        <f>IF(D40=" "," ","So")</f>
        <v xml:space="preserve"> </v>
      </c>
      <c r="B40" s="84">
        <f t="shared" si="29"/>
        <v>1</v>
      </c>
      <c r="C40" s="84" t="e">
        <f t="shared" si="30"/>
        <v>#N/A</v>
      </c>
      <c r="D40" s="85" t="str">
        <f t="shared" si="21"/>
        <v xml:space="preserve"> </v>
      </c>
      <c r="E40" s="182"/>
      <c r="F40" s="183"/>
      <c r="G40" s="182"/>
      <c r="H40" s="183"/>
      <c r="I40" s="318">
        <f t="shared" si="22"/>
        <v>0</v>
      </c>
      <c r="J40" s="318">
        <f t="shared" si="23"/>
        <v>0</v>
      </c>
      <c r="K40" s="318">
        <f t="shared" si="24"/>
        <v>0</v>
      </c>
      <c r="L40" s="269"/>
      <c r="M40" s="183"/>
      <c r="N40" s="318">
        <f t="shared" si="31"/>
        <v>0</v>
      </c>
      <c r="O40" s="182"/>
      <c r="P40" s="183"/>
      <c r="Q40" s="86">
        <f t="shared" si="25"/>
        <v>0</v>
      </c>
      <c r="R40" s="96">
        <f t="shared" si="26"/>
        <v>0</v>
      </c>
      <c r="S40" s="211" t="str">
        <f t="shared" si="27"/>
        <v xml:space="preserve"> </v>
      </c>
      <c r="T40" s="212" t="str">
        <f t="shared" si="28"/>
        <v xml:space="preserve"> </v>
      </c>
      <c r="U40" s="87"/>
      <c r="V40" s="131"/>
      <c r="W40" s="181"/>
      <c r="X40" s="181"/>
      <c r="Y40" s="196"/>
      <c r="Z40" s="196"/>
      <c r="AA40" s="196"/>
      <c r="AB40" s="196"/>
      <c r="AC40" s="196"/>
      <c r="AD40" s="181"/>
      <c r="AE40" s="245" t="s">
        <v>76</v>
      </c>
      <c r="AF40" s="359" t="s">
        <v>93</v>
      </c>
      <c r="AG40" s="245" t="s">
        <v>77</v>
      </c>
      <c r="AH40" s="359"/>
      <c r="AI40" s="130"/>
      <c r="AJ40" s="268" t="str">
        <f>IF(OR(AND(AF40=0,AH40=0),AND(AF40="X",AH40="X")),"  &lt;-- "," ")</f>
        <v xml:space="preserve"> </v>
      </c>
      <c r="AK40" s="122">
        <v>1</v>
      </c>
      <c r="AL40" s="137">
        <v>11</v>
      </c>
      <c r="AM40" s="122">
        <f>DATE(AL29,AL40,AK40)</f>
        <v>306</v>
      </c>
      <c r="AN40" s="123">
        <f t="shared" si="20"/>
        <v>5</v>
      </c>
      <c r="AP40" s="110" t="s">
        <v>35</v>
      </c>
      <c r="AQ40" s="111">
        <v>9</v>
      </c>
      <c r="AR40" s="116">
        <v>30</v>
      </c>
      <c r="AU40" s="267" t="str">
        <f>IF(OR(AND(AF40=0,AH40=0),AND(AF40="X",AH40="X"))," !!  Ist ein Arbeitszeitkonto vereinbart?"," ")</f>
        <v xml:space="preserve"> </v>
      </c>
    </row>
    <row r="41" spans="1:48" ht="12.75" customHeight="1" thickBot="1" x14ac:dyDescent="0.25">
      <c r="A41" s="98"/>
      <c r="B41" s="99"/>
      <c r="C41" s="100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  <c r="R41" s="103">
        <f>(SUM(S34:S40)*60)+SUM(T34:T40)</f>
        <v>0</v>
      </c>
      <c r="S41" s="211">
        <f>INT(R41/60)</f>
        <v>0</v>
      </c>
      <c r="T41" s="212">
        <f>MOD(R41,60)</f>
        <v>0</v>
      </c>
      <c r="V41" s="356" t="str">
        <f>IF(AF40="X","50 v.H. der vertraglich vereinbarten 
Monatsarbeitszeit (§ 2 Abs. 2 MiLoG):","kein Arbeitszeitkonto vereinbart")</f>
        <v>50 v.H. der vertraglich vereinbarten 
Monatsarbeitszeit (§ 2 Abs. 2 MiLoG):</v>
      </c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8"/>
      <c r="AK41" s="122">
        <v>1</v>
      </c>
      <c r="AL41" s="122">
        <v>12</v>
      </c>
      <c r="AM41" s="122">
        <f>DATE(AL29,AL41,AK41)</f>
        <v>336</v>
      </c>
      <c r="AN41" s="123">
        <f t="shared" si="20"/>
        <v>7</v>
      </c>
      <c r="AR41" s="6">
        <f>SUM(AR29:AR40)</f>
        <v>365</v>
      </c>
      <c r="AU41" s="267" t="str">
        <f>IF(OR(AND(AF40=0,AH40=0),AND(AF40="X",AH40="X")),"     Oder gib es eine enstpr. Dienstvereinbarung mit der MAV?"," ")</f>
        <v xml:space="preserve"> </v>
      </c>
    </row>
    <row r="42" spans="1:48" ht="3.95" customHeight="1" x14ac:dyDescent="0.2">
      <c r="A42" s="78"/>
      <c r="B42" s="99"/>
      <c r="C42" s="100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102"/>
      <c r="S42" s="213"/>
      <c r="T42" s="214"/>
      <c r="U42" s="140"/>
      <c r="V42" s="356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8"/>
      <c r="AJ42" s="141"/>
      <c r="AK42" s="26"/>
      <c r="AL42" s="27"/>
      <c r="AM42" s="27"/>
      <c r="AN42" s="45"/>
    </row>
    <row r="43" spans="1:48" ht="12.75" customHeight="1" x14ac:dyDescent="0.2">
      <c r="A43" s="83" t="str">
        <f>IF(D43=" "," ","Mo")</f>
        <v xml:space="preserve"> </v>
      </c>
      <c r="B43" s="84">
        <v>1</v>
      </c>
      <c r="C43" s="84" t="e">
        <f>C40+1</f>
        <v>#N/A</v>
      </c>
      <c r="D43" s="85" t="str">
        <f t="shared" ref="D43:D49" si="32">IF($G$3=0," ",C43)</f>
        <v xml:space="preserve"> </v>
      </c>
      <c r="E43" s="182"/>
      <c r="F43" s="183"/>
      <c r="G43" s="182"/>
      <c r="H43" s="183"/>
      <c r="I43" s="318">
        <f t="shared" ref="I43:I49" si="33">(E43*60)+F43</f>
        <v>0</v>
      </c>
      <c r="J43" s="318">
        <f t="shared" ref="J43:J49" si="34">(G43*60)+H43</f>
        <v>0</v>
      </c>
      <c r="K43" s="318">
        <f t="shared" ref="K43:K49" si="35">J43-I43</f>
        <v>0</v>
      </c>
      <c r="L43" s="269"/>
      <c r="M43" s="183"/>
      <c r="N43" s="318">
        <f>IF(OR(L43="U",OR(L43="F",OR(L43="K",L43="A"))),0,(L43*60)+M43)</f>
        <v>0</v>
      </c>
      <c r="O43" s="182"/>
      <c r="P43" s="183"/>
      <c r="Q43" s="86">
        <f t="shared" ref="Q43:Q49" si="36">(O43*60)+P43</f>
        <v>0</v>
      </c>
      <c r="R43" s="86">
        <f t="shared" ref="R43:R49" si="37">K43-N43-Q43</f>
        <v>0</v>
      </c>
      <c r="S43" s="211" t="str">
        <f t="shared" ref="S43:S49" si="38">IF(E43=0," ",INT(R43/60))</f>
        <v xml:space="preserve"> </v>
      </c>
      <c r="T43" s="212" t="str">
        <f t="shared" ref="T43:T49" si="39">IF(E43=0," ",MOD(R43,60))</f>
        <v xml:space="preserve"> </v>
      </c>
      <c r="V43" s="356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8"/>
      <c r="AK43" s="26"/>
      <c r="AL43" s="27"/>
      <c r="AM43" s="27"/>
      <c r="AN43" s="45"/>
    </row>
    <row r="44" spans="1:48" ht="12.75" customHeight="1" x14ac:dyDescent="0.2">
      <c r="A44" s="83" t="str">
        <f>IF(D44=" "," ","Di")</f>
        <v xml:space="preserve"> </v>
      </c>
      <c r="B44" s="84">
        <f t="shared" ref="B44:B49" si="40">IF(B43=1,1,IF(C33=1,1,0))</f>
        <v>1</v>
      </c>
      <c r="C44" s="84" t="e">
        <f t="shared" ref="C44:C49" si="41">C43+1</f>
        <v>#N/A</v>
      </c>
      <c r="D44" s="85" t="str">
        <f t="shared" si="32"/>
        <v xml:space="preserve"> </v>
      </c>
      <c r="E44" s="182"/>
      <c r="F44" s="183"/>
      <c r="G44" s="182"/>
      <c r="H44" s="183"/>
      <c r="I44" s="318">
        <f>(E44*60)+F44</f>
        <v>0</v>
      </c>
      <c r="J44" s="318">
        <f>(G44*60)+H44</f>
        <v>0</v>
      </c>
      <c r="K44" s="318">
        <f>J44-I44</f>
        <v>0</v>
      </c>
      <c r="L44" s="269"/>
      <c r="M44" s="183"/>
      <c r="N44" s="318">
        <f t="shared" ref="N44:N49" si="42">IF(OR(L44="U",OR(L44="F",OR(L44="K",L44="A"))),0,(L44*60)+M44)</f>
        <v>0</v>
      </c>
      <c r="O44" s="182"/>
      <c r="P44" s="183"/>
      <c r="Q44" s="86">
        <f t="shared" si="36"/>
        <v>0</v>
      </c>
      <c r="R44" s="86">
        <f t="shared" si="37"/>
        <v>0</v>
      </c>
      <c r="S44" s="211" t="str">
        <f t="shared" si="38"/>
        <v xml:space="preserve"> </v>
      </c>
      <c r="T44" s="212" t="str">
        <f t="shared" si="39"/>
        <v xml:space="preserve"> </v>
      </c>
      <c r="V44" s="127"/>
      <c r="W44" s="132">
        <f>IF(AF40="X",IF(W32=" "," ",INT(Y44/60))," ")</f>
        <v>0</v>
      </c>
      <c r="X44" s="132">
        <f>IF(AF40="X",IF(W32=" "," ",MOD(Y44,60))," ")</f>
        <v>0</v>
      </c>
      <c r="Y44" s="194">
        <f>ROUNDDOWN((Y32/2),0)</f>
        <v>0</v>
      </c>
      <c r="Z44" s="191"/>
      <c r="AA44" s="197"/>
      <c r="AB44" s="191"/>
      <c r="AC44" s="191"/>
      <c r="AD44" s="105" t="str">
        <f>IF(AND(AB44=0,AC44=0)," ",AC44)</f>
        <v xml:space="preserve"> </v>
      </c>
      <c r="AE44" s="74"/>
      <c r="AF44" s="74"/>
      <c r="AG44" s="74"/>
      <c r="AH44" s="74"/>
      <c r="AI44" s="136"/>
      <c r="AK44" s="26"/>
      <c r="AL44" s="27"/>
      <c r="AM44" s="27"/>
      <c r="AN44" s="45"/>
    </row>
    <row r="45" spans="1:48" ht="12.75" customHeight="1" x14ac:dyDescent="0.2">
      <c r="A45" s="83" t="str">
        <f>IF(D45=" "," ","Mi")</f>
        <v xml:space="preserve"> </v>
      </c>
      <c r="B45" s="84">
        <f t="shared" si="40"/>
        <v>1</v>
      </c>
      <c r="C45" s="84" t="e">
        <f t="shared" si="41"/>
        <v>#N/A</v>
      </c>
      <c r="D45" s="85" t="str">
        <f t="shared" si="32"/>
        <v xml:space="preserve"> </v>
      </c>
      <c r="E45" s="182"/>
      <c r="F45" s="183"/>
      <c r="G45" s="182"/>
      <c r="H45" s="183"/>
      <c r="I45" s="318">
        <f>(E45*60)+F45</f>
        <v>0</v>
      </c>
      <c r="J45" s="318">
        <f>(G45*60)+H45</f>
        <v>0</v>
      </c>
      <c r="K45" s="318">
        <f>J45-I45</f>
        <v>0</v>
      </c>
      <c r="L45" s="269"/>
      <c r="M45" s="183"/>
      <c r="N45" s="318">
        <f t="shared" si="42"/>
        <v>0</v>
      </c>
      <c r="O45" s="182"/>
      <c r="P45" s="183"/>
      <c r="Q45" s="86">
        <f t="shared" si="36"/>
        <v>0</v>
      </c>
      <c r="R45" s="86">
        <f t="shared" si="37"/>
        <v>0</v>
      </c>
      <c r="S45" s="211" t="str">
        <f t="shared" si="38"/>
        <v xml:space="preserve"> </v>
      </c>
      <c r="T45" s="212" t="str">
        <f t="shared" si="39"/>
        <v xml:space="preserve"> </v>
      </c>
      <c r="U45" s="129"/>
      <c r="V45" s="131"/>
      <c r="W45" s="129"/>
      <c r="X45" s="129"/>
      <c r="Y45" s="189"/>
      <c r="Z45" s="189"/>
      <c r="AA45" s="189"/>
      <c r="AB45" s="189"/>
      <c r="AC45" s="189"/>
      <c r="AD45" s="129"/>
      <c r="AE45" s="129"/>
      <c r="AF45" s="129"/>
      <c r="AG45" s="129"/>
      <c r="AH45" s="129"/>
      <c r="AI45" s="130"/>
      <c r="AK45" s="26"/>
      <c r="AL45" s="26"/>
      <c r="AM45" s="92"/>
      <c r="AN45" s="45"/>
    </row>
    <row r="46" spans="1:48" ht="12.75" customHeight="1" x14ac:dyDescent="0.2">
      <c r="A46" s="83" t="str">
        <f>IF(D46=" "," ","Do")</f>
        <v xml:space="preserve"> </v>
      </c>
      <c r="B46" s="84">
        <f t="shared" si="40"/>
        <v>1</v>
      </c>
      <c r="C46" s="84" t="e">
        <f t="shared" si="41"/>
        <v>#N/A</v>
      </c>
      <c r="D46" s="85" t="str">
        <f t="shared" si="32"/>
        <v xml:space="preserve"> </v>
      </c>
      <c r="E46" s="182"/>
      <c r="F46" s="183"/>
      <c r="G46" s="182"/>
      <c r="H46" s="183"/>
      <c r="I46" s="318">
        <f>(E46*60)+F46</f>
        <v>0</v>
      </c>
      <c r="J46" s="318">
        <f>(G46*60)+H46</f>
        <v>0</v>
      </c>
      <c r="K46" s="318">
        <f>J46-I46</f>
        <v>0</v>
      </c>
      <c r="L46" s="269"/>
      <c r="M46" s="183"/>
      <c r="N46" s="318">
        <f t="shared" si="42"/>
        <v>0</v>
      </c>
      <c r="O46" s="182"/>
      <c r="P46" s="183"/>
      <c r="Q46" s="86">
        <f t="shared" si="36"/>
        <v>0</v>
      </c>
      <c r="R46" s="86">
        <f t="shared" si="37"/>
        <v>0</v>
      </c>
      <c r="S46" s="211" t="str">
        <f t="shared" si="38"/>
        <v xml:space="preserve"> </v>
      </c>
      <c r="T46" s="212" t="str">
        <f t="shared" si="39"/>
        <v xml:space="preserve"> </v>
      </c>
      <c r="U46" s="129"/>
      <c r="V46" s="135" t="str">
        <f>IF(AF40="X","Übertragung auf das Arbeitszeitkonto (MiLoG):"," ")</f>
        <v>Übertragung auf das Arbeitszeitkonto (MiLoG):</v>
      </c>
      <c r="W46" s="129"/>
      <c r="X46" s="105"/>
      <c r="Y46" s="193"/>
      <c r="Z46" s="191"/>
      <c r="AA46" s="191"/>
      <c r="AB46" s="191"/>
      <c r="AC46" s="191"/>
      <c r="AD46" s="105"/>
      <c r="AE46" s="74"/>
      <c r="AF46" s="74"/>
      <c r="AG46" s="74"/>
      <c r="AH46" s="74"/>
      <c r="AI46" s="136"/>
      <c r="AK46" s="26"/>
      <c r="AL46" s="26"/>
      <c r="AM46" s="92"/>
      <c r="AN46" s="45"/>
    </row>
    <row r="47" spans="1:48" ht="12.75" customHeight="1" x14ac:dyDescent="0.2">
      <c r="A47" s="83" t="str">
        <f>IF(D47=" "," ","Fr")</f>
        <v xml:space="preserve"> </v>
      </c>
      <c r="B47" s="84">
        <f t="shared" si="40"/>
        <v>1</v>
      </c>
      <c r="C47" s="84" t="e">
        <f t="shared" si="41"/>
        <v>#N/A</v>
      </c>
      <c r="D47" s="85" t="str">
        <f t="shared" si="32"/>
        <v xml:space="preserve"> </v>
      </c>
      <c r="E47" s="182"/>
      <c r="F47" s="183"/>
      <c r="G47" s="182"/>
      <c r="H47" s="183"/>
      <c r="I47" s="318">
        <f>(E47*60)+F47</f>
        <v>0</v>
      </c>
      <c r="J47" s="318">
        <f>(G47*60)+H47</f>
        <v>0</v>
      </c>
      <c r="K47" s="318">
        <f>J47-I47</f>
        <v>0</v>
      </c>
      <c r="L47" s="269"/>
      <c r="M47" s="183"/>
      <c r="N47" s="318">
        <f t="shared" si="42"/>
        <v>0</v>
      </c>
      <c r="O47" s="182"/>
      <c r="P47" s="183"/>
      <c r="Q47" s="86">
        <f t="shared" si="36"/>
        <v>0</v>
      </c>
      <c r="R47" s="86">
        <f t="shared" si="37"/>
        <v>0</v>
      </c>
      <c r="S47" s="211" t="str">
        <f t="shared" si="38"/>
        <v xml:space="preserve"> </v>
      </c>
      <c r="T47" s="212" t="str">
        <f t="shared" si="39"/>
        <v xml:space="preserve"> </v>
      </c>
      <c r="U47" s="129"/>
      <c r="V47" s="142" t="str">
        <f>IF(AF40="X",IF(W36=" "," ",IF(Y38&lt;0,"–",IF(Y38&gt;0,"+"," ")))," ")</f>
        <v xml:space="preserve"> </v>
      </c>
      <c r="W47" s="139">
        <f>IF(AF40="X",IF(W36=" "," ",IF(Y38&lt;0,W39,INT(Y47/60)))," ")</f>
        <v>0</v>
      </c>
      <c r="X47" s="139">
        <f>IF(AF40="X",IF(W36=" "," ",IF(Y38&lt;0,X39,MOD(Y47,60)))," ")</f>
        <v>0</v>
      </c>
      <c r="Y47" s="192">
        <f>IF(Y38&gt;Y44,Y44,Y38)</f>
        <v>0</v>
      </c>
      <c r="Z47" s="191"/>
      <c r="AA47" s="191"/>
      <c r="AB47" s="191"/>
      <c r="AC47" s="191"/>
      <c r="AD47" s="105"/>
      <c r="AE47" s="74"/>
      <c r="AF47" s="74"/>
      <c r="AG47" s="74"/>
      <c r="AH47" s="74"/>
      <c r="AI47" s="136"/>
      <c r="AJ47" s="141"/>
      <c r="AK47" s="26"/>
      <c r="AL47" s="97"/>
      <c r="AM47" s="95"/>
      <c r="AN47" s="45"/>
    </row>
    <row r="48" spans="1:48" ht="12.75" customHeight="1" x14ac:dyDescent="0.2">
      <c r="A48" s="83" t="str">
        <f>IF(D48=" "," ","Sa")</f>
        <v xml:space="preserve"> </v>
      </c>
      <c r="B48" s="84">
        <f t="shared" si="40"/>
        <v>1</v>
      </c>
      <c r="C48" s="84" t="e">
        <f t="shared" si="41"/>
        <v>#N/A</v>
      </c>
      <c r="D48" s="85" t="str">
        <f t="shared" si="32"/>
        <v xml:space="preserve"> </v>
      </c>
      <c r="E48" s="182"/>
      <c r="F48" s="183"/>
      <c r="G48" s="182"/>
      <c r="H48" s="183"/>
      <c r="I48" s="318">
        <f t="shared" si="33"/>
        <v>0</v>
      </c>
      <c r="J48" s="318">
        <f t="shared" si="34"/>
        <v>0</v>
      </c>
      <c r="K48" s="318">
        <f t="shared" si="35"/>
        <v>0</v>
      </c>
      <c r="L48" s="269"/>
      <c r="M48" s="183"/>
      <c r="N48" s="318">
        <f t="shared" si="42"/>
        <v>0</v>
      </c>
      <c r="O48" s="182"/>
      <c r="P48" s="183"/>
      <c r="Q48" s="86">
        <f t="shared" si="36"/>
        <v>0</v>
      </c>
      <c r="R48" s="86">
        <f t="shared" si="37"/>
        <v>0</v>
      </c>
      <c r="S48" s="211" t="str">
        <f t="shared" si="38"/>
        <v xml:space="preserve"> </v>
      </c>
      <c r="T48" s="212" t="str">
        <f t="shared" si="39"/>
        <v xml:space="preserve"> </v>
      </c>
      <c r="U48" s="129"/>
      <c r="V48" s="131"/>
      <c r="W48" s="129"/>
      <c r="X48" s="129"/>
      <c r="Y48" s="189"/>
      <c r="Z48" s="189"/>
      <c r="AA48" s="189"/>
      <c r="AB48" s="189"/>
      <c r="AC48" s="189"/>
      <c r="AD48" s="129"/>
      <c r="AE48" s="129"/>
      <c r="AF48" s="129"/>
      <c r="AG48" s="129"/>
      <c r="AH48" s="129"/>
      <c r="AI48" s="130"/>
      <c r="AJ48" s="129"/>
      <c r="AK48" s="26"/>
      <c r="AL48" s="26"/>
      <c r="AM48" s="92"/>
      <c r="AN48" s="45"/>
    </row>
    <row r="49" spans="1:40" ht="12.75" customHeight="1" thickBot="1" x14ac:dyDescent="0.25">
      <c r="A49" s="83" t="str">
        <f>IF(D49=" "," ","So")</f>
        <v xml:space="preserve"> </v>
      </c>
      <c r="B49" s="84">
        <f t="shared" si="40"/>
        <v>1</v>
      </c>
      <c r="C49" s="84" t="e">
        <f t="shared" si="41"/>
        <v>#N/A</v>
      </c>
      <c r="D49" s="85" t="str">
        <f t="shared" si="32"/>
        <v xml:space="preserve"> </v>
      </c>
      <c r="E49" s="182"/>
      <c r="F49" s="183"/>
      <c r="G49" s="182"/>
      <c r="H49" s="183"/>
      <c r="I49" s="318">
        <f t="shared" si="33"/>
        <v>0</v>
      </c>
      <c r="J49" s="318">
        <f t="shared" si="34"/>
        <v>0</v>
      </c>
      <c r="K49" s="318">
        <f t="shared" si="35"/>
        <v>0</v>
      </c>
      <c r="L49" s="269"/>
      <c r="M49" s="183"/>
      <c r="N49" s="318">
        <f t="shared" si="42"/>
        <v>0</v>
      </c>
      <c r="O49" s="182"/>
      <c r="P49" s="183"/>
      <c r="Q49" s="86">
        <f t="shared" si="36"/>
        <v>0</v>
      </c>
      <c r="R49" s="96">
        <f t="shared" si="37"/>
        <v>0</v>
      </c>
      <c r="S49" s="211" t="str">
        <f t="shared" si="38"/>
        <v xml:space="preserve"> </v>
      </c>
      <c r="T49" s="212" t="str">
        <f t="shared" si="39"/>
        <v xml:space="preserve"> </v>
      </c>
      <c r="U49" s="129"/>
      <c r="V49" s="135" t="s">
        <v>92</v>
      </c>
      <c r="W49" s="129"/>
      <c r="X49" s="105"/>
      <c r="Y49" s="193"/>
      <c r="Z49" s="191"/>
      <c r="AA49" s="191"/>
      <c r="AB49" s="191"/>
      <c r="AC49" s="191"/>
      <c r="AD49" s="105"/>
      <c r="AE49" s="74"/>
      <c r="AF49" s="74"/>
      <c r="AG49" s="74"/>
      <c r="AH49" s="74"/>
      <c r="AI49" s="136"/>
      <c r="AJ49" s="141"/>
      <c r="AK49" s="26"/>
      <c r="AL49" s="97"/>
      <c r="AM49" s="95"/>
      <c r="AN49" s="45"/>
    </row>
    <row r="50" spans="1:40" ht="12.75" customHeight="1" thickBot="1" x14ac:dyDescent="0.25">
      <c r="A50" s="98"/>
      <c r="B50" s="99"/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2"/>
      <c r="R50" s="103">
        <f>(SUM(S43:S49)*60)+SUM(T43:T49)</f>
        <v>0</v>
      </c>
      <c r="S50" s="211">
        <f>INT(R50/60)</f>
        <v>0</v>
      </c>
      <c r="T50" s="212">
        <f>MOD(R50,60)</f>
        <v>0</v>
      </c>
      <c r="U50" s="129"/>
      <c r="V50" s="127"/>
      <c r="W50" s="139">
        <f>IF(W36=" "," ",IF(AF40="X",INT(Y50/60),INT(Z50/60)))</f>
        <v>0</v>
      </c>
      <c r="X50" s="139">
        <f>IF(W36=" "," ",IF(AF40="X",MOD(Y50,60),MOD(Z50,60)))</f>
        <v>0</v>
      </c>
      <c r="Y50" s="192">
        <f>IF(Y38&gt;Y44,Y38-Y44,0)</f>
        <v>0</v>
      </c>
      <c r="Z50" s="248">
        <f>IF(Y36&gt;Y32,Y36-Y32,0)</f>
        <v>0</v>
      </c>
      <c r="AA50" s="249" t="s">
        <v>78</v>
      </c>
      <c r="AB50" s="250"/>
      <c r="AC50" s="191"/>
      <c r="AD50" s="325" t="str">
        <f>IF(AND(W50=" ",X50=" ")," ","(= "&amp;W50&amp;",")</f>
        <v>(= 0,</v>
      </c>
      <c r="AE50" s="325"/>
      <c r="AF50" s="333">
        <f>IF(AND(W50=" ",X50=" ")," ",ROUND(X50/60*100,2))</f>
        <v>0</v>
      </c>
      <c r="AG50" s="333"/>
      <c r="AH50" s="74"/>
      <c r="AI50" s="136"/>
      <c r="AJ50" s="223" t="str">
        <f>IF(Y32=0," ",IF(AJ40&lt;&gt;" "," ",IF(AF40&lt;&gt;"x"," ",IF(AF40="x",IF(Y50&gt;0,"  !! Erhöhte Personalausgaben !!"," ")))))</f>
        <v xml:space="preserve"> </v>
      </c>
      <c r="AK50" s="26"/>
      <c r="AL50" s="26"/>
      <c r="AM50" s="26"/>
      <c r="AN50" s="45"/>
    </row>
    <row r="51" spans="1:40" ht="3.95" customHeight="1" x14ac:dyDescent="0.2">
      <c r="A51" s="78"/>
      <c r="B51" s="99"/>
      <c r="C51" s="100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2"/>
      <c r="R51" s="102"/>
      <c r="S51" s="213"/>
      <c r="T51" s="214"/>
      <c r="U51" s="87"/>
      <c r="V51" s="143"/>
      <c r="W51" s="144"/>
      <c r="X51" s="145" t="str">
        <f>IF(AND(AB51=0,AC51=0)," ",AB51)</f>
        <v xml:space="preserve"> </v>
      </c>
      <c r="Y51" s="198"/>
      <c r="Z51" s="199"/>
      <c r="AA51" s="199"/>
      <c r="AB51" s="199"/>
      <c r="AC51" s="199"/>
      <c r="AD51" s="145"/>
      <c r="AE51" s="146"/>
      <c r="AF51" s="146"/>
      <c r="AG51" s="146"/>
      <c r="AH51" s="146"/>
      <c r="AI51" s="147"/>
      <c r="AJ51" s="129"/>
      <c r="AK51" s="26"/>
      <c r="AL51" s="26"/>
      <c r="AM51" s="26"/>
      <c r="AN51" s="45"/>
    </row>
    <row r="52" spans="1:40" ht="12.75" customHeight="1" x14ac:dyDescent="0.2">
      <c r="A52" s="83" t="str">
        <f>IF(D52=" "," ","Mo")</f>
        <v xml:space="preserve"> </v>
      </c>
      <c r="B52" s="84"/>
      <c r="C52" s="84" t="e">
        <f>IF((C49+1)&gt;$C$5,0,IF(C49+1&lt;7,0,C49+1))</f>
        <v>#N/A</v>
      </c>
      <c r="D52" s="85" t="str">
        <f t="shared" ref="D52:D58" si="43">IF($G$3=0," ",IF(C52=0," ",C52))</f>
        <v xml:space="preserve"> </v>
      </c>
      <c r="E52" s="182"/>
      <c r="F52" s="183"/>
      <c r="G52" s="182"/>
      <c r="H52" s="183"/>
      <c r="I52" s="318">
        <f t="shared" ref="I52:I58" si="44">(E52*60)+F52</f>
        <v>0</v>
      </c>
      <c r="J52" s="318">
        <f t="shared" ref="J52:J58" si="45">(G52*60)+H52</f>
        <v>0</v>
      </c>
      <c r="K52" s="318">
        <f t="shared" ref="K52:K58" si="46">J52-I52</f>
        <v>0</v>
      </c>
      <c r="L52" s="269"/>
      <c r="M52" s="183"/>
      <c r="N52" s="318">
        <f>IF(OR(L52="U",OR(L52="F",OR(L52="K",L52="A"))),0,(L52*60)+M52)</f>
        <v>0</v>
      </c>
      <c r="O52" s="182"/>
      <c r="P52" s="183"/>
      <c r="Q52" s="86">
        <f t="shared" ref="Q52:Q58" si="47">(O52*60)+P52</f>
        <v>0</v>
      </c>
      <c r="R52" s="86">
        <f t="shared" ref="R52:R58" si="48">K52-N52-Q52</f>
        <v>0</v>
      </c>
      <c r="S52" s="211" t="str">
        <f t="shared" ref="S52:S58" si="49">IF(E52=0," ",INT(R52/60))</f>
        <v xml:space="preserve"> </v>
      </c>
      <c r="T52" s="212" t="str">
        <f t="shared" ref="T52:T58" si="50">IF(E52=0," ",MOD(R52,60))</f>
        <v xml:space="preserve"> </v>
      </c>
      <c r="AJ52" s="224" t="str">
        <f>IF(AJ50=" "," ","  Für insgesamt "&amp;Z54&amp;" Std.  "&amp;AA54&amp;" Min. ist in diesem Monat")</f>
        <v xml:space="preserve"> </v>
      </c>
      <c r="AK52" s="26"/>
      <c r="AL52" s="26"/>
      <c r="AM52" s="26"/>
      <c r="AN52" s="45"/>
    </row>
    <row r="53" spans="1:40" ht="12.75" customHeight="1" x14ac:dyDescent="0.2">
      <c r="A53" s="83" t="str">
        <f>IF(D53=" "," ","Di")</f>
        <v xml:space="preserve"> </v>
      </c>
      <c r="B53" s="84"/>
      <c r="C53" s="84" t="e">
        <f t="shared" ref="C53:C58" si="51">IF((C52+1)&gt;$C$5,0,IF(C52+1&lt;7,0,C52+1))</f>
        <v>#N/A</v>
      </c>
      <c r="D53" s="85" t="str">
        <f t="shared" si="43"/>
        <v xml:space="preserve"> </v>
      </c>
      <c r="E53" s="182"/>
      <c r="F53" s="183"/>
      <c r="G53" s="182"/>
      <c r="H53" s="183"/>
      <c r="I53" s="318">
        <f>(E53*60)+F53</f>
        <v>0</v>
      </c>
      <c r="J53" s="318">
        <f>(G53*60)+H53</f>
        <v>0</v>
      </c>
      <c r="K53" s="318">
        <f>J53-I53</f>
        <v>0</v>
      </c>
      <c r="L53" s="269"/>
      <c r="M53" s="183"/>
      <c r="N53" s="318">
        <f t="shared" ref="N53:N58" si="52">IF(OR(L53="U",OR(L53="F",OR(L53="K",L53="A"))),0,(L53*60)+M53)</f>
        <v>0</v>
      </c>
      <c r="O53" s="182"/>
      <c r="P53" s="183"/>
      <c r="Q53" s="86">
        <f t="shared" si="47"/>
        <v>0</v>
      </c>
      <c r="R53" s="86">
        <f t="shared" si="48"/>
        <v>0</v>
      </c>
      <c r="S53" s="211" t="str">
        <f t="shared" si="49"/>
        <v xml:space="preserve"> </v>
      </c>
      <c r="T53" s="212" t="str">
        <f t="shared" si="50"/>
        <v xml:space="preserve"> </v>
      </c>
      <c r="U53" s="87"/>
      <c r="Y53" s="201" t="s">
        <v>55</v>
      </c>
      <c r="AJ53" s="224" t="str">
        <f>IF(AJ50=" "," ","  das tarifliche Entgelt zu zahlen.")</f>
        <v xml:space="preserve"> </v>
      </c>
      <c r="AK53" s="26"/>
      <c r="AL53" s="26"/>
      <c r="AM53" s="26"/>
      <c r="AN53" s="45"/>
    </row>
    <row r="54" spans="1:40" ht="12.75" customHeight="1" x14ac:dyDescent="0.2">
      <c r="A54" s="83" t="str">
        <f>IF(D54=" "," ","Mi")</f>
        <v xml:space="preserve"> </v>
      </c>
      <c r="B54" s="84"/>
      <c r="C54" s="84" t="e">
        <f t="shared" si="51"/>
        <v>#N/A</v>
      </c>
      <c r="D54" s="85" t="str">
        <f t="shared" si="43"/>
        <v xml:space="preserve"> </v>
      </c>
      <c r="E54" s="182"/>
      <c r="F54" s="183"/>
      <c r="G54" s="182"/>
      <c r="H54" s="183"/>
      <c r="I54" s="318">
        <f>(E54*60)+F54</f>
        <v>0</v>
      </c>
      <c r="J54" s="318">
        <f>(G54*60)+H54</f>
        <v>0</v>
      </c>
      <c r="K54" s="318">
        <f>J54-I54</f>
        <v>0</v>
      </c>
      <c r="L54" s="269"/>
      <c r="M54" s="183"/>
      <c r="N54" s="318">
        <f t="shared" si="52"/>
        <v>0</v>
      </c>
      <c r="O54" s="182"/>
      <c r="P54" s="183"/>
      <c r="Q54" s="86">
        <f t="shared" si="47"/>
        <v>0</v>
      </c>
      <c r="R54" s="86">
        <f t="shared" si="48"/>
        <v>0</v>
      </c>
      <c r="S54" s="211" t="str">
        <f t="shared" si="49"/>
        <v xml:space="preserve"> </v>
      </c>
      <c r="T54" s="212" t="str">
        <f t="shared" si="50"/>
        <v xml:space="preserve"> </v>
      </c>
      <c r="U54" s="87"/>
      <c r="Y54" s="184">
        <f>Y32+Y50</f>
        <v>0</v>
      </c>
      <c r="Z54" s="184">
        <f>INT(Y54/60)</f>
        <v>0</v>
      </c>
      <c r="AA54" s="184">
        <f>MOD(Y54,60)</f>
        <v>0</v>
      </c>
      <c r="AJ54" s="129"/>
      <c r="AK54" s="26"/>
      <c r="AL54" s="26"/>
      <c r="AM54" s="26"/>
      <c r="AN54" s="45"/>
    </row>
    <row r="55" spans="1:40" ht="12.75" customHeight="1" x14ac:dyDescent="0.2">
      <c r="A55" s="83" t="str">
        <f>IF(D55=" "," ","Do")</f>
        <v xml:space="preserve"> </v>
      </c>
      <c r="B55" s="84"/>
      <c r="C55" s="84" t="e">
        <f t="shared" si="51"/>
        <v>#N/A</v>
      </c>
      <c r="D55" s="85" t="str">
        <f t="shared" si="43"/>
        <v xml:space="preserve"> </v>
      </c>
      <c r="E55" s="182"/>
      <c r="F55" s="183"/>
      <c r="G55" s="182"/>
      <c r="H55" s="183"/>
      <c r="I55" s="318">
        <f>(E55*60)+F55</f>
        <v>0</v>
      </c>
      <c r="J55" s="318">
        <f>(G55*60)+H55</f>
        <v>0</v>
      </c>
      <c r="K55" s="318">
        <f>J55-I55</f>
        <v>0</v>
      </c>
      <c r="L55" s="269"/>
      <c r="M55" s="183"/>
      <c r="N55" s="318">
        <f t="shared" si="52"/>
        <v>0</v>
      </c>
      <c r="O55" s="182"/>
      <c r="P55" s="183"/>
      <c r="Q55" s="86">
        <f t="shared" si="47"/>
        <v>0</v>
      </c>
      <c r="R55" s="86">
        <f t="shared" si="48"/>
        <v>0</v>
      </c>
      <c r="S55" s="211" t="str">
        <f t="shared" si="49"/>
        <v xml:space="preserve"> </v>
      </c>
      <c r="T55" s="212" t="str">
        <f t="shared" si="50"/>
        <v xml:space="preserve"> </v>
      </c>
      <c r="Y55" s="253">
        <f>Y36</f>
        <v>0</v>
      </c>
      <c r="Z55" s="252">
        <f>INT(Y55/60)</f>
        <v>0</v>
      </c>
      <c r="AA55" s="252">
        <f>MOD(Y55,60)</f>
        <v>0</v>
      </c>
      <c r="AB55" s="254" t="s">
        <v>78</v>
      </c>
      <c r="AC55" s="255"/>
      <c r="AJ55" s="251" t="str">
        <f>IF(Y32=0," ",IF(AJ40&lt;&gt;" "," ",IF(AH40&lt;&gt;"x"," ",IF(AH40="x",IF(Z50&gt;0,"  !! Erhöhte Personalausgaben !!"," ")))))</f>
        <v xml:space="preserve"> </v>
      </c>
      <c r="AK55" s="26"/>
      <c r="AL55" s="26"/>
      <c r="AM55" s="26"/>
      <c r="AN55" s="45"/>
    </row>
    <row r="56" spans="1:40" ht="12.75" customHeight="1" x14ac:dyDescent="0.2">
      <c r="A56" s="83" t="str">
        <f>IF(D56=" "," ","Fr")</f>
        <v xml:space="preserve"> </v>
      </c>
      <c r="B56" s="84"/>
      <c r="C56" s="84" t="e">
        <f t="shared" si="51"/>
        <v>#N/A</v>
      </c>
      <c r="D56" s="85" t="str">
        <f t="shared" si="43"/>
        <v xml:space="preserve"> </v>
      </c>
      <c r="E56" s="182"/>
      <c r="F56" s="183"/>
      <c r="G56" s="182"/>
      <c r="H56" s="183"/>
      <c r="I56" s="318">
        <f>(E56*60)+F56</f>
        <v>0</v>
      </c>
      <c r="J56" s="318">
        <f>(G56*60)+H56</f>
        <v>0</v>
      </c>
      <c r="K56" s="318">
        <f>J56-I56</f>
        <v>0</v>
      </c>
      <c r="L56" s="269"/>
      <c r="M56" s="183"/>
      <c r="N56" s="318">
        <f t="shared" si="52"/>
        <v>0</v>
      </c>
      <c r="O56" s="182"/>
      <c r="P56" s="183"/>
      <c r="Q56" s="86">
        <f t="shared" si="47"/>
        <v>0</v>
      </c>
      <c r="R56" s="86">
        <f t="shared" si="48"/>
        <v>0</v>
      </c>
      <c r="S56" s="211" t="str">
        <f t="shared" si="49"/>
        <v xml:space="preserve"> </v>
      </c>
      <c r="T56" s="212" t="str">
        <f t="shared" si="50"/>
        <v xml:space="preserve"> </v>
      </c>
      <c r="AJ56" s="251" t="str">
        <f>IF(AJ55=" "," ","  Für insgesamt "&amp;Z55&amp;" Std.  "&amp;AA55&amp;" Min. ist in diesem Monat")</f>
        <v xml:space="preserve"> </v>
      </c>
      <c r="AK56" s="26"/>
      <c r="AL56" s="26"/>
      <c r="AM56" s="26"/>
      <c r="AN56" s="45"/>
    </row>
    <row r="57" spans="1:40" ht="12.75" customHeight="1" x14ac:dyDescent="0.2">
      <c r="A57" s="83" t="str">
        <f>IF(D57=" "," ","Sa")</f>
        <v xml:space="preserve"> </v>
      </c>
      <c r="B57" s="84"/>
      <c r="C57" s="84" t="e">
        <f t="shared" si="51"/>
        <v>#N/A</v>
      </c>
      <c r="D57" s="85" t="str">
        <f t="shared" si="43"/>
        <v xml:space="preserve"> </v>
      </c>
      <c r="E57" s="182"/>
      <c r="F57" s="183"/>
      <c r="G57" s="182"/>
      <c r="H57" s="183"/>
      <c r="I57" s="318">
        <f t="shared" si="44"/>
        <v>0</v>
      </c>
      <c r="J57" s="318">
        <f t="shared" si="45"/>
        <v>0</v>
      </c>
      <c r="K57" s="318">
        <f t="shared" si="46"/>
        <v>0</v>
      </c>
      <c r="L57" s="269"/>
      <c r="M57" s="183"/>
      <c r="N57" s="318">
        <f t="shared" si="52"/>
        <v>0</v>
      </c>
      <c r="O57" s="182"/>
      <c r="P57" s="183"/>
      <c r="Q57" s="86">
        <f t="shared" si="47"/>
        <v>0</v>
      </c>
      <c r="R57" s="86">
        <f t="shared" si="48"/>
        <v>0</v>
      </c>
      <c r="S57" s="211" t="str">
        <f t="shared" si="49"/>
        <v xml:space="preserve"> </v>
      </c>
      <c r="T57" s="212" t="str">
        <f t="shared" si="50"/>
        <v xml:space="preserve"> </v>
      </c>
      <c r="V57" s="345" t="str">
        <f>IF(AH40="x","(Datum, Unterschrift der Mitarbeiterin/
 des Mitarbeiters)","")</f>
        <v/>
      </c>
      <c r="W57" s="346"/>
      <c r="X57" s="346"/>
      <c r="Y57" s="346"/>
      <c r="Z57" s="346"/>
      <c r="AA57" s="346"/>
      <c r="AB57" s="346"/>
      <c r="AC57" s="346"/>
      <c r="AD57" s="346"/>
      <c r="AE57" s="346"/>
      <c r="AF57" s="346"/>
      <c r="AG57" s="346"/>
      <c r="AH57" s="346"/>
      <c r="AI57" s="346"/>
      <c r="AJ57" s="251" t="str">
        <f>IF(AJ55=" "," ","  das tarifliche Entgelt zu zahlen.")</f>
        <v xml:space="preserve"> </v>
      </c>
      <c r="AK57" s="26"/>
      <c r="AL57" s="26"/>
      <c r="AM57" s="26"/>
      <c r="AN57" s="45"/>
    </row>
    <row r="58" spans="1:40" ht="12.75" customHeight="1" thickBot="1" x14ac:dyDescent="0.25">
      <c r="A58" s="98" t="str">
        <f>IF(D58=" "," ","So")</f>
        <v xml:space="preserve"> </v>
      </c>
      <c r="B58" s="148"/>
      <c r="C58" s="84" t="e">
        <f t="shared" si="51"/>
        <v>#N/A</v>
      </c>
      <c r="D58" s="149" t="str">
        <f t="shared" si="43"/>
        <v xml:space="preserve"> </v>
      </c>
      <c r="E58" s="182"/>
      <c r="F58" s="183"/>
      <c r="G58" s="182"/>
      <c r="H58" s="183"/>
      <c r="I58" s="318">
        <f t="shared" si="44"/>
        <v>0</v>
      </c>
      <c r="J58" s="318">
        <f t="shared" si="45"/>
        <v>0</v>
      </c>
      <c r="K58" s="318">
        <f t="shared" si="46"/>
        <v>0</v>
      </c>
      <c r="L58" s="269"/>
      <c r="M58" s="183"/>
      <c r="N58" s="318">
        <f t="shared" si="52"/>
        <v>0</v>
      </c>
      <c r="O58" s="182"/>
      <c r="P58" s="183"/>
      <c r="Q58" s="86">
        <f t="shared" si="47"/>
        <v>0</v>
      </c>
      <c r="R58" s="96">
        <f t="shared" si="48"/>
        <v>0</v>
      </c>
      <c r="S58" s="211" t="str">
        <f t="shared" si="49"/>
        <v xml:space="preserve"> </v>
      </c>
      <c r="T58" s="212" t="str">
        <f t="shared" si="50"/>
        <v xml:space="preserve"> </v>
      </c>
      <c r="U58" s="87"/>
      <c r="V58" s="347"/>
      <c r="W58" s="347"/>
      <c r="X58" s="347"/>
      <c r="Y58" s="347"/>
      <c r="Z58" s="347"/>
      <c r="AA58" s="347"/>
      <c r="AB58" s="347"/>
      <c r="AC58" s="347"/>
      <c r="AD58" s="347"/>
      <c r="AE58" s="347"/>
      <c r="AF58" s="347"/>
      <c r="AG58" s="347"/>
      <c r="AH58" s="347"/>
      <c r="AI58" s="347"/>
      <c r="AJ58" s="129"/>
      <c r="AK58" s="26"/>
      <c r="AL58" s="26"/>
      <c r="AM58" s="26"/>
      <c r="AN58" s="45"/>
    </row>
    <row r="59" spans="1:40" ht="12.75" customHeight="1" thickBot="1" x14ac:dyDescent="0.25">
      <c r="A59" s="98"/>
      <c r="B59" s="150"/>
      <c r="C59" s="151"/>
      <c r="D59" s="152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53"/>
      <c r="R59" s="103">
        <f>(SUM(S52:S58)*60)+SUM(T52:T58)</f>
        <v>0</v>
      </c>
      <c r="S59" s="211">
        <f>INT(R59/60)</f>
        <v>0</v>
      </c>
      <c r="T59" s="212">
        <f>MOD(R59,60)</f>
        <v>0</v>
      </c>
      <c r="U59" s="87"/>
      <c r="V59" s="154"/>
      <c r="W59" s="154"/>
      <c r="X59" s="154"/>
      <c r="Y59" s="200"/>
      <c r="Z59" s="200"/>
      <c r="AA59" s="200"/>
      <c r="AB59" s="200"/>
      <c r="AC59" s="200"/>
      <c r="AD59" s="154"/>
      <c r="AE59" s="154"/>
      <c r="AF59" s="154"/>
      <c r="AG59" s="154"/>
      <c r="AH59" s="154"/>
      <c r="AI59" s="154"/>
      <c r="AJ59" s="129"/>
      <c r="AK59" s="26"/>
      <c r="AL59" s="26"/>
      <c r="AM59" s="26"/>
      <c r="AN59" s="45"/>
    </row>
    <row r="60" spans="1:40" ht="3.95" customHeight="1" x14ac:dyDescent="0.2">
      <c r="A60" s="78"/>
      <c r="B60" s="99"/>
      <c r="C60" s="100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2"/>
      <c r="R60" s="102"/>
      <c r="S60" s="213"/>
      <c r="T60" s="214"/>
      <c r="AK60" s="26"/>
      <c r="AL60" s="26"/>
      <c r="AM60" s="26"/>
      <c r="AN60" s="45"/>
    </row>
    <row r="61" spans="1:40" ht="12.75" customHeight="1" x14ac:dyDescent="0.2">
      <c r="A61" s="83" t="str">
        <f>IF(D61=" "," ","Mo")</f>
        <v xml:space="preserve"> </v>
      </c>
      <c r="B61" s="84"/>
      <c r="C61" s="84" t="e">
        <f>IF((C58+1)&gt;$C$5,0,IF(C58+1&lt;7,0,C58+1))</f>
        <v>#N/A</v>
      </c>
      <c r="D61" s="85" t="str">
        <f>IF($G$3=0," ",IF(C61=0," ",C61))</f>
        <v xml:space="preserve"> </v>
      </c>
      <c r="E61" s="182"/>
      <c r="F61" s="183"/>
      <c r="G61" s="182"/>
      <c r="H61" s="183"/>
      <c r="I61" s="318">
        <f>(E61*60)+F61</f>
        <v>0</v>
      </c>
      <c r="J61" s="318">
        <f>(G61*60)+H61</f>
        <v>0</v>
      </c>
      <c r="K61" s="318">
        <f>J61-I61</f>
        <v>0</v>
      </c>
      <c r="L61" s="269"/>
      <c r="M61" s="183"/>
      <c r="N61" s="318">
        <f>IF(OR(L61="U",OR(L61="F",OR(L61="K",L61="A"))),0,(L61*60)+M61)</f>
        <v>0</v>
      </c>
      <c r="O61" s="182"/>
      <c r="P61" s="183"/>
      <c r="Q61" s="86">
        <f>(O61*60)+P61</f>
        <v>0</v>
      </c>
      <c r="R61" s="86">
        <f>K61-N61-Q61</f>
        <v>0</v>
      </c>
      <c r="S61" s="211" t="str">
        <f>IF(E61=0," ",INT(R61/60))</f>
        <v xml:space="preserve"> </v>
      </c>
      <c r="T61" s="212" t="str">
        <f>IF(E61=0," ",MOD(R61,60))</f>
        <v xml:space="preserve"> </v>
      </c>
      <c r="AJ61" s="129"/>
      <c r="AK61" s="26"/>
      <c r="AL61" s="26"/>
      <c r="AM61" s="26"/>
      <c r="AN61" s="45"/>
    </row>
    <row r="62" spans="1:40" ht="12.75" customHeight="1" thickBot="1" x14ac:dyDescent="0.25">
      <c r="A62" s="83" t="str">
        <f>IF(D62=" "," ","Di")</f>
        <v xml:space="preserve"> </v>
      </c>
      <c r="B62" s="84"/>
      <c r="C62" s="84" t="e">
        <f>IF((C61+1)&gt;$C$5,0,IF(C61+1&lt;7,0,C61+1))</f>
        <v>#N/A</v>
      </c>
      <c r="D62" s="85" t="str">
        <f t="shared" ref="D62:D67" si="53">IF($G$3=0," ",IF(C62=0," ",C62))</f>
        <v xml:space="preserve"> </v>
      </c>
      <c r="E62" s="182"/>
      <c r="F62" s="183"/>
      <c r="G62" s="182"/>
      <c r="H62" s="183"/>
      <c r="I62" s="318">
        <f t="shared" ref="I62:I67" si="54">(E62*60)+F62</f>
        <v>0</v>
      </c>
      <c r="J62" s="318">
        <f t="shared" ref="J62:J67" si="55">(G62*60)+H62</f>
        <v>0</v>
      </c>
      <c r="K62" s="318">
        <f t="shared" ref="K62:K67" si="56">J62-I62</f>
        <v>0</v>
      </c>
      <c r="L62" s="269"/>
      <c r="M62" s="183"/>
      <c r="N62" s="318">
        <f t="shared" ref="N62:N67" si="57">IF(OR(L62="U",OR(L62="F",OR(L62="K",L62="A"))),0,(L62*60)+M62)</f>
        <v>0</v>
      </c>
      <c r="O62" s="182"/>
      <c r="P62" s="183"/>
      <c r="Q62" s="86">
        <f t="shared" ref="Q62:Q67" si="58">(O62*60)+P62</f>
        <v>0</v>
      </c>
      <c r="R62" s="86">
        <f t="shared" ref="R62:R67" si="59">K62-N62-Q62</f>
        <v>0</v>
      </c>
      <c r="S62" s="211" t="str">
        <f>IF(E62=0," ",INT(R62/60))</f>
        <v xml:space="preserve"> </v>
      </c>
      <c r="T62" s="212" t="str">
        <f>IF(E62=0," ",MOD(R62,60))</f>
        <v xml:space="preserve"> </v>
      </c>
      <c r="AJ62" s="129"/>
      <c r="AK62" s="26"/>
      <c r="AL62" s="26"/>
      <c r="AM62" s="26"/>
      <c r="AN62" s="45"/>
    </row>
    <row r="63" spans="1:40" ht="12.75" hidden="1" customHeight="1" outlineLevel="1" x14ac:dyDescent="0.2">
      <c r="A63" s="83" t="str">
        <f>IF(D63=" "," ","Mo")</f>
        <v xml:space="preserve"> </v>
      </c>
      <c r="B63" s="84"/>
      <c r="C63" s="84" t="e">
        <f>IF((C60+1)&gt;$C$5,0,IF(C60+1&lt;7,0,C60+1))</f>
        <v>#N/A</v>
      </c>
      <c r="D63" s="85" t="str">
        <f t="shared" si="53"/>
        <v xml:space="preserve"> </v>
      </c>
      <c r="E63" s="182"/>
      <c r="F63" s="183"/>
      <c r="G63" s="182"/>
      <c r="H63" s="183"/>
      <c r="I63" s="256">
        <f t="shared" si="54"/>
        <v>0</v>
      </c>
      <c r="J63" s="256">
        <f t="shared" si="55"/>
        <v>0</v>
      </c>
      <c r="K63" s="256">
        <f t="shared" si="56"/>
        <v>0</v>
      </c>
      <c r="L63" s="269"/>
      <c r="M63" s="183"/>
      <c r="N63" s="318">
        <f t="shared" si="57"/>
        <v>0</v>
      </c>
      <c r="O63" s="182"/>
      <c r="P63" s="183"/>
      <c r="Q63" s="86">
        <f t="shared" si="58"/>
        <v>0</v>
      </c>
      <c r="R63" s="86">
        <f t="shared" si="59"/>
        <v>0</v>
      </c>
      <c r="S63" s="211" t="str">
        <f>IF(E63=0," ",IF(AND(#REF!&lt;=6,#REF!=0),#REF!,IF(#REF!&lt;6,#REF!,#REF!)))</f>
        <v xml:space="preserve"> </v>
      </c>
      <c r="T63" s="212" t="str">
        <f>IF(E63=0," ",IF(AND(#REF!&lt;=6,#REF!=0),#REF!,IF(#REF!&lt;6,#REF!,#REF!)))</f>
        <v xml:space="preserve"> </v>
      </c>
      <c r="V63" s="131"/>
      <c r="W63" s="129"/>
      <c r="X63" s="129"/>
      <c r="Y63" s="189"/>
      <c r="Z63" s="189"/>
      <c r="AA63" s="189"/>
      <c r="AB63" s="189"/>
      <c r="AC63" s="189"/>
      <c r="AD63" s="129"/>
      <c r="AE63" s="129"/>
      <c r="AF63" s="129"/>
      <c r="AG63" s="129"/>
      <c r="AH63" s="129"/>
      <c r="AI63" s="130"/>
      <c r="AK63" s="26"/>
      <c r="AL63" s="26"/>
      <c r="AM63" s="26"/>
      <c r="AN63" s="45"/>
    </row>
    <row r="64" spans="1:40" ht="12.75" hidden="1" customHeight="1" outlineLevel="1" x14ac:dyDescent="0.2">
      <c r="A64" s="83" t="str">
        <f>IF(D64=" "," ","Mo")</f>
        <v xml:space="preserve"> </v>
      </c>
      <c r="B64" s="84"/>
      <c r="C64" s="84" t="e">
        <f>IF((C61+1)&gt;$C$5,0,IF(C61+1&lt;7,0,C61+1))</f>
        <v>#N/A</v>
      </c>
      <c r="D64" s="85" t="str">
        <f t="shared" si="53"/>
        <v xml:space="preserve"> </v>
      </c>
      <c r="E64" s="182"/>
      <c r="F64" s="183"/>
      <c r="G64" s="182"/>
      <c r="H64" s="183"/>
      <c r="I64" s="256">
        <f t="shared" si="54"/>
        <v>0</v>
      </c>
      <c r="J64" s="256">
        <f t="shared" si="55"/>
        <v>0</v>
      </c>
      <c r="K64" s="256">
        <f t="shared" si="56"/>
        <v>0</v>
      </c>
      <c r="L64" s="269"/>
      <c r="M64" s="183"/>
      <c r="N64" s="318">
        <f t="shared" si="57"/>
        <v>0</v>
      </c>
      <c r="O64" s="182"/>
      <c r="P64" s="183"/>
      <c r="Q64" s="86">
        <f t="shared" si="58"/>
        <v>0</v>
      </c>
      <c r="R64" s="86">
        <f t="shared" si="59"/>
        <v>0</v>
      </c>
      <c r="S64" s="211" t="str">
        <f>IF(E64=0," ",IF(AND(#REF!&lt;=6,#REF!=0),#REF!,IF(#REF!&lt;6,#REF!,#REF!)))</f>
        <v xml:space="preserve"> </v>
      </c>
      <c r="T64" s="212" t="str">
        <f>IF(E64=0," ",IF(AND(#REF!&lt;=6,#REF!=0),#REF!,IF(#REF!&lt;6,#REF!,#REF!)))</f>
        <v xml:space="preserve"> </v>
      </c>
      <c r="V64" s="131"/>
      <c r="W64" s="129"/>
      <c r="X64" s="129"/>
      <c r="Y64" s="189"/>
      <c r="Z64" s="189"/>
      <c r="AA64" s="189"/>
      <c r="AB64" s="189"/>
      <c r="AC64" s="189"/>
      <c r="AD64" s="129"/>
      <c r="AE64" s="129"/>
      <c r="AF64" s="129"/>
      <c r="AG64" s="129"/>
      <c r="AH64" s="129"/>
      <c r="AI64" s="130"/>
      <c r="AK64" s="26"/>
      <c r="AL64" s="26"/>
      <c r="AM64" s="26"/>
      <c r="AN64" s="45"/>
    </row>
    <row r="65" spans="1:46" ht="12.75" hidden="1" customHeight="1" outlineLevel="1" x14ac:dyDescent="0.2">
      <c r="A65" s="83" t="str">
        <f>IF(D65=" "," ","Mo")</f>
        <v xml:space="preserve"> </v>
      </c>
      <c r="B65" s="84"/>
      <c r="C65" s="84" t="e">
        <f>IF((C62+1)&gt;$C$5,0,IF(C62+1&lt;7,0,C62+1))</f>
        <v>#N/A</v>
      </c>
      <c r="D65" s="85" t="str">
        <f t="shared" si="53"/>
        <v xml:space="preserve"> </v>
      </c>
      <c r="E65" s="182"/>
      <c r="F65" s="183"/>
      <c r="G65" s="182"/>
      <c r="H65" s="183"/>
      <c r="I65" s="256">
        <f t="shared" si="54"/>
        <v>0</v>
      </c>
      <c r="J65" s="256">
        <f t="shared" si="55"/>
        <v>0</v>
      </c>
      <c r="K65" s="256">
        <f t="shared" si="56"/>
        <v>0</v>
      </c>
      <c r="L65" s="269"/>
      <c r="M65" s="183"/>
      <c r="N65" s="318">
        <f t="shared" si="57"/>
        <v>0</v>
      </c>
      <c r="O65" s="182"/>
      <c r="P65" s="183"/>
      <c r="Q65" s="86">
        <f t="shared" si="58"/>
        <v>0</v>
      </c>
      <c r="R65" s="86">
        <f t="shared" si="59"/>
        <v>0</v>
      </c>
      <c r="S65" s="211" t="str">
        <f>IF(E65=0," ",IF(AND(#REF!&lt;=6,#REF!=0),#REF!,IF(#REF!&lt;6,#REF!,#REF!)))</f>
        <v xml:space="preserve"> </v>
      </c>
      <c r="T65" s="212" t="str">
        <f>IF(E65=0," ",IF(AND(#REF!&lt;=6,#REF!=0),#REF!,IF(#REF!&lt;6,#REF!,#REF!)))</f>
        <v xml:space="preserve"> </v>
      </c>
      <c r="V65" s="131"/>
      <c r="W65" s="129"/>
      <c r="X65" s="129"/>
      <c r="Y65" s="189"/>
      <c r="Z65" s="189"/>
      <c r="AA65" s="189"/>
      <c r="AB65" s="189"/>
      <c r="AC65" s="189"/>
      <c r="AD65" s="129"/>
      <c r="AE65" s="129"/>
      <c r="AF65" s="129"/>
      <c r="AG65" s="129"/>
      <c r="AH65" s="129"/>
      <c r="AI65" s="130"/>
      <c r="AK65" s="26"/>
      <c r="AL65" s="26"/>
      <c r="AM65" s="26"/>
      <c r="AN65" s="45"/>
    </row>
    <row r="66" spans="1:46" ht="12.75" hidden="1" customHeight="1" outlineLevel="1" x14ac:dyDescent="0.2">
      <c r="A66" s="83" t="str">
        <f>IF(D66=" "," ","Mo")</f>
        <v xml:space="preserve"> </v>
      </c>
      <c r="B66" s="84"/>
      <c r="C66" s="84" t="e">
        <f>IF((C63+1)&gt;$C$5,0,IF(C63+1&lt;7,0,C63+1))</f>
        <v>#N/A</v>
      </c>
      <c r="D66" s="85" t="str">
        <f t="shared" si="53"/>
        <v xml:space="preserve"> </v>
      </c>
      <c r="E66" s="182"/>
      <c r="F66" s="183"/>
      <c r="G66" s="182"/>
      <c r="H66" s="183"/>
      <c r="I66" s="256">
        <f t="shared" si="54"/>
        <v>0</v>
      </c>
      <c r="J66" s="256">
        <f t="shared" si="55"/>
        <v>0</v>
      </c>
      <c r="K66" s="256">
        <f t="shared" si="56"/>
        <v>0</v>
      </c>
      <c r="L66" s="269"/>
      <c r="M66" s="183"/>
      <c r="N66" s="318">
        <f t="shared" si="57"/>
        <v>0</v>
      </c>
      <c r="O66" s="182"/>
      <c r="P66" s="183"/>
      <c r="Q66" s="86">
        <f t="shared" si="58"/>
        <v>0</v>
      </c>
      <c r="R66" s="86">
        <f t="shared" si="59"/>
        <v>0</v>
      </c>
      <c r="S66" s="211" t="str">
        <f>IF(E66=0," ",IF(AND(#REF!&lt;=6,#REF!=0),#REF!,IF(#REF!&lt;6,#REF!,#REF!)))</f>
        <v xml:space="preserve"> </v>
      </c>
      <c r="T66" s="212" t="str">
        <f>IF(E66=0," ",IF(AND(#REF!&lt;=6,#REF!=0),#REF!,IF(#REF!&lt;6,#REF!,#REF!)))</f>
        <v xml:space="preserve"> </v>
      </c>
      <c r="U66" s="87"/>
      <c r="V66" s="127"/>
      <c r="W66" s="87"/>
      <c r="X66" s="105" t="str">
        <f>IF(AND(AB66=0,AC66=0)," ",AB66)</f>
        <v xml:space="preserve"> </v>
      </c>
      <c r="Y66" s="193"/>
      <c r="Z66" s="191"/>
      <c r="AA66" s="191"/>
      <c r="AB66" s="191"/>
      <c r="AC66" s="191"/>
      <c r="AD66" s="105" t="str">
        <f>IF(AND(AB66=0,AC66=0)," ",AC66)</f>
        <v xml:space="preserve"> </v>
      </c>
      <c r="AE66" s="74"/>
      <c r="AF66" s="74"/>
      <c r="AG66" s="74"/>
      <c r="AH66" s="74"/>
      <c r="AI66" s="136"/>
      <c r="AJ66" s="129"/>
      <c r="AK66" s="26"/>
      <c r="AL66" s="26"/>
      <c r="AM66" s="26"/>
      <c r="AN66" s="45"/>
    </row>
    <row r="67" spans="1:46" ht="12.75" hidden="1" customHeight="1" outlineLevel="1" thickBot="1" x14ac:dyDescent="0.25">
      <c r="A67" s="83" t="str">
        <f>IF(D67=" "," ","Mo")</f>
        <v xml:space="preserve"> </v>
      </c>
      <c r="B67" s="84"/>
      <c r="C67" s="84" t="e">
        <f>IF((C64+1)&gt;$C$5,0,IF(C64+1&lt;7,0,C64+1))</f>
        <v>#N/A</v>
      </c>
      <c r="D67" s="85" t="str">
        <f t="shared" si="53"/>
        <v xml:space="preserve"> </v>
      </c>
      <c r="E67" s="182"/>
      <c r="F67" s="183"/>
      <c r="G67" s="182"/>
      <c r="H67" s="183"/>
      <c r="I67" s="256">
        <f t="shared" si="54"/>
        <v>0</v>
      </c>
      <c r="J67" s="256">
        <f t="shared" si="55"/>
        <v>0</v>
      </c>
      <c r="K67" s="256">
        <f t="shared" si="56"/>
        <v>0</v>
      </c>
      <c r="L67" s="269"/>
      <c r="M67" s="183"/>
      <c r="N67" s="318">
        <f t="shared" si="57"/>
        <v>0</v>
      </c>
      <c r="O67" s="182"/>
      <c r="P67" s="183"/>
      <c r="Q67" s="86">
        <f t="shared" si="58"/>
        <v>0</v>
      </c>
      <c r="R67" s="86">
        <f t="shared" si="59"/>
        <v>0</v>
      </c>
      <c r="S67" s="215" t="str">
        <f>IF(E67=0," ",IF(AND(#REF!&lt;=6,#REF!=0),#REF!,IF(#REF!&lt;6,#REF!,#REF!)))</f>
        <v xml:space="preserve"> </v>
      </c>
      <c r="T67" s="216" t="str">
        <f>IF(E67=0," ",IF(AND(#REF!&lt;=6,#REF!=0),#REF!,IF(#REF!&lt;6,#REF!,#REF!)))</f>
        <v xml:space="preserve"> </v>
      </c>
      <c r="U67" s="87"/>
      <c r="V67" s="127"/>
      <c r="W67" s="129"/>
      <c r="X67" s="129"/>
      <c r="Y67" s="189"/>
      <c r="Z67" s="189"/>
      <c r="AA67" s="189"/>
      <c r="AB67" s="189"/>
      <c r="AC67" s="189"/>
      <c r="AD67" s="129"/>
      <c r="AE67" s="129"/>
      <c r="AF67" s="129"/>
      <c r="AG67" s="129"/>
      <c r="AH67" s="129"/>
      <c r="AI67" s="130"/>
      <c r="AK67" s="26"/>
      <c r="AL67" s="26"/>
      <c r="AM67" s="26"/>
      <c r="AN67" s="45"/>
    </row>
    <row r="68" spans="1:46" ht="12.75" customHeight="1" collapsed="1" thickBot="1" x14ac:dyDescent="0.25">
      <c r="A68" s="35"/>
      <c r="B68" s="155"/>
      <c r="C68" s="156"/>
      <c r="D68" s="157"/>
      <c r="E68" s="158"/>
      <c r="F68" s="158"/>
      <c r="G68" s="158"/>
      <c r="H68" s="158"/>
      <c r="I68" s="153"/>
      <c r="J68" s="153"/>
      <c r="K68" s="153"/>
      <c r="L68" s="158"/>
      <c r="M68" s="158"/>
      <c r="N68" s="153"/>
      <c r="O68" s="158"/>
      <c r="P68" s="158"/>
      <c r="Q68" s="102"/>
      <c r="R68" s="103">
        <f>(SUM(S61:S67)*60)+SUM(T61:T67)</f>
        <v>0</v>
      </c>
      <c r="S68" s="211">
        <f>INT(R68/60)</f>
        <v>0</v>
      </c>
      <c r="T68" s="212">
        <f>MOD(R68,60)</f>
        <v>0</v>
      </c>
      <c r="U68" s="87"/>
      <c r="AJ68" s="129"/>
      <c r="AK68" s="26"/>
      <c r="AL68" s="26"/>
      <c r="AM68" s="26"/>
      <c r="AN68" s="45"/>
    </row>
    <row r="69" spans="1:46" ht="13.5" thickBot="1" x14ac:dyDescent="0.25">
      <c r="A69" s="159"/>
      <c r="B69" s="160"/>
      <c r="C69" s="161"/>
      <c r="D69" s="162"/>
      <c r="E69" s="141"/>
      <c r="F69" s="141"/>
      <c r="G69" s="141"/>
      <c r="H69" s="141"/>
      <c r="I69" s="163"/>
      <c r="J69" s="163"/>
      <c r="K69" s="163"/>
      <c r="L69" s="141"/>
      <c r="M69" s="141"/>
      <c r="N69" s="163"/>
      <c r="O69" s="141"/>
      <c r="P69" s="141"/>
      <c r="Q69" s="163"/>
      <c r="R69" s="163"/>
      <c r="S69" s="213"/>
      <c r="T69" s="214"/>
      <c r="U69" s="87"/>
      <c r="V69" s="345" t="str">
        <f>IF(AH40="x","(Datum, Unterschrift der Vertreterin/
 des Vertreters der Dienststelle)"," ")</f>
        <v xml:space="preserve"> </v>
      </c>
      <c r="W69" s="346"/>
      <c r="X69" s="346"/>
      <c r="Y69" s="346"/>
      <c r="Z69" s="346"/>
      <c r="AA69" s="346"/>
      <c r="AB69" s="346"/>
      <c r="AC69" s="346"/>
      <c r="AD69" s="346"/>
      <c r="AE69" s="346"/>
      <c r="AF69" s="346"/>
      <c r="AG69" s="346"/>
      <c r="AH69" s="346"/>
      <c r="AI69" s="346"/>
      <c r="AJ69" s="129"/>
      <c r="AK69" s="26"/>
      <c r="AL69" s="26"/>
      <c r="AM69" s="26"/>
      <c r="AN69" s="45"/>
    </row>
    <row r="70" spans="1:46" s="8" customFormat="1" ht="12.75" hidden="1" customHeight="1" outlineLevel="1" x14ac:dyDescent="0.2">
      <c r="A70" s="164"/>
      <c r="B70" s="165"/>
      <c r="C70" s="95"/>
      <c r="D70" s="95"/>
      <c r="E70" s="166"/>
      <c r="F70" s="166"/>
      <c r="G70" s="166"/>
      <c r="H70" s="166"/>
      <c r="I70" s="167"/>
      <c r="J70" s="167"/>
      <c r="K70" s="167"/>
      <c r="L70" s="166"/>
      <c r="M70" s="166"/>
      <c r="N70" s="167"/>
      <c r="O70" s="166"/>
      <c r="P70" s="168" t="s">
        <v>51</v>
      </c>
      <c r="Q70" s="167"/>
      <c r="R70" s="167"/>
      <c r="S70" s="169">
        <f>W32</f>
        <v>0</v>
      </c>
      <c r="T70" s="170">
        <f>X32</f>
        <v>0</v>
      </c>
      <c r="U70" s="87"/>
      <c r="V70" s="347"/>
      <c r="W70" s="347"/>
      <c r="X70" s="347"/>
      <c r="Y70" s="347"/>
      <c r="Z70" s="347"/>
      <c r="AA70" s="347"/>
      <c r="AB70" s="347"/>
      <c r="AC70" s="347"/>
      <c r="AD70" s="347"/>
      <c r="AE70" s="347"/>
      <c r="AF70" s="347"/>
      <c r="AG70" s="347"/>
      <c r="AH70" s="347"/>
      <c r="AI70" s="347"/>
      <c r="AJ70" s="129"/>
      <c r="AK70" s="26"/>
      <c r="AL70" s="26"/>
      <c r="AM70" s="26"/>
      <c r="AN70" s="45"/>
      <c r="AP70" s="9"/>
      <c r="AQ70" s="6"/>
      <c r="AR70" s="6"/>
    </row>
    <row r="71" spans="1:46" s="8" customFormat="1" ht="13.5" hidden="1" customHeight="1" outlineLevel="1" thickBot="1" x14ac:dyDescent="0.25">
      <c r="A71" s="164"/>
      <c r="B71" s="165"/>
      <c r="C71" s="95"/>
      <c r="D71" s="95"/>
      <c r="E71" s="166"/>
      <c r="F71" s="166"/>
      <c r="G71" s="166"/>
      <c r="H71" s="166"/>
      <c r="I71" s="167"/>
      <c r="J71" s="167"/>
      <c r="K71" s="167"/>
      <c r="L71" s="166"/>
      <c r="M71" s="166"/>
      <c r="N71" s="167"/>
      <c r="O71" s="166"/>
      <c r="P71" s="166"/>
      <c r="Q71" s="167"/>
      <c r="R71" s="167"/>
      <c r="S71" s="169"/>
      <c r="T71" s="170"/>
      <c r="U71" s="87"/>
      <c r="V71" s="347"/>
      <c r="W71" s="347"/>
      <c r="X71" s="347"/>
      <c r="Y71" s="347"/>
      <c r="Z71" s="347"/>
      <c r="AA71" s="347"/>
      <c r="AB71" s="347"/>
      <c r="AC71" s="347"/>
      <c r="AD71" s="347"/>
      <c r="AE71" s="347"/>
      <c r="AF71" s="347"/>
      <c r="AG71" s="347"/>
      <c r="AH71" s="347"/>
      <c r="AI71" s="347"/>
      <c r="AJ71" s="129"/>
      <c r="AK71" s="26"/>
      <c r="AL71" s="26"/>
      <c r="AM71" s="26"/>
      <c r="AN71" s="45"/>
      <c r="AP71" s="9"/>
      <c r="AQ71" s="6"/>
      <c r="AR71" s="6"/>
    </row>
    <row r="72" spans="1:46" ht="12.75" customHeight="1" collapsed="1" thickBot="1" x14ac:dyDescent="0.25">
      <c r="A72" s="159"/>
      <c r="B72" s="160"/>
      <c r="C72" s="133"/>
      <c r="D72" s="162"/>
      <c r="E72" s="171"/>
      <c r="F72" s="171"/>
      <c r="G72" s="171"/>
      <c r="H72" s="172"/>
      <c r="I72" s="173"/>
      <c r="J72" s="173"/>
      <c r="K72" s="173"/>
      <c r="L72" s="171"/>
      <c r="M72" s="172"/>
      <c r="N72" s="173"/>
      <c r="O72" s="171"/>
      <c r="P72" s="172" t="s">
        <v>36</v>
      </c>
      <c r="Q72" s="163"/>
      <c r="R72" s="174">
        <f>R23+R32+R41+R50+R59+R68</f>
        <v>0</v>
      </c>
      <c r="S72" s="211">
        <f>INT(R72/60)</f>
        <v>0</v>
      </c>
      <c r="T72" s="212">
        <f>MOD(R72,60)</f>
        <v>0</v>
      </c>
      <c r="U72" s="87"/>
      <c r="V72" s="347"/>
      <c r="W72" s="347"/>
      <c r="X72" s="347"/>
      <c r="Y72" s="347"/>
      <c r="Z72" s="347"/>
      <c r="AA72" s="347"/>
      <c r="AB72" s="347"/>
      <c r="AC72" s="347"/>
      <c r="AD72" s="347"/>
      <c r="AE72" s="347"/>
      <c r="AF72" s="347"/>
      <c r="AG72" s="347"/>
      <c r="AH72" s="347"/>
      <c r="AI72" s="347"/>
      <c r="AJ72" s="129"/>
      <c r="AK72" s="26"/>
      <c r="AL72" s="26"/>
      <c r="AM72" s="26"/>
      <c r="AN72" s="45"/>
    </row>
    <row r="73" spans="1:46" ht="3.95" customHeight="1" x14ac:dyDescent="0.2">
      <c r="A73" s="175"/>
      <c r="B73" s="176"/>
      <c r="C73" s="62"/>
      <c r="D73" s="126"/>
      <c r="E73" s="126"/>
      <c r="F73" s="126"/>
      <c r="G73" s="126"/>
      <c r="H73" s="126"/>
      <c r="I73" s="173"/>
      <c r="J73" s="173"/>
      <c r="K73" s="173"/>
      <c r="L73" s="126"/>
      <c r="M73" s="126"/>
      <c r="N73" s="173"/>
      <c r="O73" s="126"/>
      <c r="P73" s="126"/>
      <c r="Q73" s="173"/>
      <c r="R73" s="173"/>
      <c r="S73" s="126"/>
      <c r="T73" s="177"/>
      <c r="U73" s="87"/>
      <c r="V73" s="347"/>
      <c r="W73" s="347"/>
      <c r="X73" s="347"/>
      <c r="Y73" s="347"/>
      <c r="Z73" s="347"/>
      <c r="AA73" s="347"/>
      <c r="AB73" s="347"/>
      <c r="AC73" s="347"/>
      <c r="AD73" s="347"/>
      <c r="AE73" s="347"/>
      <c r="AF73" s="347"/>
      <c r="AG73" s="347"/>
      <c r="AH73" s="347"/>
      <c r="AI73" s="347"/>
      <c r="AJ73" s="129"/>
      <c r="AK73" s="26"/>
      <c r="AL73" s="26"/>
      <c r="AM73" s="27"/>
      <c r="AN73" s="45"/>
      <c r="AQ73" s="27"/>
      <c r="AR73" s="27"/>
    </row>
    <row r="74" spans="1:46" ht="3.95" customHeight="1" x14ac:dyDescent="0.2">
      <c r="A74" s="24"/>
      <c r="B74" s="160"/>
      <c r="C74" s="133"/>
      <c r="D74" s="129"/>
      <c r="E74" s="129"/>
      <c r="F74" s="129"/>
      <c r="G74" s="129"/>
      <c r="H74" s="129"/>
      <c r="I74" s="178"/>
      <c r="J74" s="178"/>
      <c r="K74" s="178"/>
      <c r="L74" s="129"/>
      <c r="M74" s="129"/>
      <c r="N74" s="178"/>
      <c r="O74" s="129"/>
      <c r="P74" s="129"/>
      <c r="Q74" s="178"/>
      <c r="R74" s="178"/>
      <c r="S74" s="129"/>
      <c r="T74" s="129"/>
      <c r="U74" s="87"/>
      <c r="AJ74" s="129"/>
      <c r="AK74" s="26"/>
      <c r="AL74" s="26"/>
      <c r="AM74" s="27"/>
      <c r="AN74" s="45"/>
      <c r="AQ74" s="27"/>
      <c r="AR74" s="27"/>
    </row>
    <row r="75" spans="1:46" s="15" customFormat="1" ht="17.25" customHeight="1" x14ac:dyDescent="0.2">
      <c r="A75" s="328" t="s">
        <v>59</v>
      </c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  <c r="W75" s="328"/>
      <c r="X75" s="328"/>
      <c r="Y75" s="328"/>
      <c r="Z75" s="328"/>
      <c r="AA75" s="328"/>
      <c r="AB75" s="328"/>
      <c r="AC75" s="328"/>
      <c r="AD75" s="328"/>
      <c r="AE75" s="328"/>
      <c r="AF75" s="328"/>
      <c r="AG75" s="328"/>
      <c r="AH75" s="328"/>
      <c r="AI75" s="328"/>
      <c r="AJ75" s="232"/>
      <c r="AK75" s="179"/>
      <c r="AL75" s="179"/>
      <c r="AM75" s="179"/>
      <c r="AN75" s="45"/>
      <c r="AO75" s="8"/>
      <c r="AP75" s="9"/>
      <c r="AQ75" s="179"/>
      <c r="AR75" s="179"/>
      <c r="AS75" s="21"/>
      <c r="AT75" s="21"/>
    </row>
    <row r="76" spans="1:46" ht="15" customHeight="1" x14ac:dyDescent="0.2">
      <c r="U76" s="87"/>
      <c r="V76" s="87"/>
      <c r="W76" s="87"/>
      <c r="X76" s="105"/>
      <c r="Y76" s="190"/>
      <c r="Z76" s="191"/>
      <c r="AA76" s="191"/>
      <c r="AB76" s="191"/>
      <c r="AC76" s="191"/>
      <c r="AD76" s="105"/>
      <c r="AE76" s="74"/>
      <c r="AF76" s="74"/>
      <c r="AG76" s="74"/>
      <c r="AH76" s="74"/>
      <c r="AI76" s="180" t="s">
        <v>60</v>
      </c>
      <c r="AJ76" s="129"/>
      <c r="AK76" s="27"/>
      <c r="AL76" s="27"/>
      <c r="AM76" s="27"/>
      <c r="AN76" s="45"/>
      <c r="AQ76" s="27"/>
      <c r="AR76" s="27"/>
    </row>
    <row r="77" spans="1:46" ht="21" customHeight="1" x14ac:dyDescent="0.2">
      <c r="A77" s="307" t="s">
        <v>83</v>
      </c>
      <c r="U77" s="87"/>
      <c r="V77" s="87"/>
      <c r="W77" s="87"/>
      <c r="X77" s="105" t="str">
        <f>IF(AND(AB77=0,AC77=0)," ",AB77)</f>
        <v xml:space="preserve"> </v>
      </c>
      <c r="Y77" s="190"/>
      <c r="Z77" s="191"/>
      <c r="AA77" s="191"/>
      <c r="AB77" s="191"/>
      <c r="AC77" s="191"/>
      <c r="AD77" s="105" t="str">
        <f>IF(AND(AB77=0,AC77=0)," ",AC77)</f>
        <v xml:space="preserve"> </v>
      </c>
      <c r="AE77" s="74"/>
      <c r="AF77" s="74"/>
      <c r="AG77" s="74"/>
      <c r="AH77" s="74"/>
      <c r="AI77" s="74"/>
      <c r="AJ77" s="311" t="str">
        <f>IF(OR(AJ78&lt;&gt;" ",AH40="X"),"  !!  Ist  KEIN  Arbeitszeitkonto vereinbart, nur Seite 1 ausdrucken."," ")</f>
        <v xml:space="preserve"> </v>
      </c>
      <c r="AK77" s="27"/>
      <c r="AL77" s="27"/>
      <c r="AM77" s="27"/>
      <c r="AN77" s="45"/>
    </row>
    <row r="78" spans="1:46" s="15" customFormat="1" ht="21" customHeight="1" x14ac:dyDescent="0.2">
      <c r="A78" s="12"/>
      <c r="B78" s="65"/>
      <c r="H78" s="18" t="s">
        <v>84</v>
      </c>
      <c r="I78" s="17"/>
      <c r="J78" s="17"/>
      <c r="K78" s="17"/>
      <c r="L78" s="298">
        <f>IF(AH40="x","kein Arbeitszeitkonto vereinbart",V3)</f>
        <v>0</v>
      </c>
      <c r="M78" s="296"/>
      <c r="N78" s="297"/>
      <c r="O78" s="296"/>
      <c r="Q78" s="17"/>
      <c r="R78" s="17"/>
      <c r="Y78" s="193"/>
      <c r="Z78" s="195"/>
      <c r="AA78" s="195"/>
      <c r="AB78" s="195"/>
      <c r="AC78" s="195"/>
      <c r="AJ78" s="308" t="str">
        <f>IF(OR(AND(AF40=0,AH40=0),AND(AF40="X",AH40="X")),"  !!  Ist ein Arbeitszeitkonto vereinbart? (oben ankreuzen)"," ")</f>
        <v xml:space="preserve"> </v>
      </c>
      <c r="AK78" s="19"/>
      <c r="AL78" s="19"/>
      <c r="AM78" s="19"/>
      <c r="AN78" s="281"/>
      <c r="AO78" s="21"/>
      <c r="AP78" s="22"/>
      <c r="AQ78" s="19"/>
      <c r="AR78" s="19"/>
      <c r="AS78" s="21"/>
      <c r="AT78" s="21"/>
    </row>
    <row r="79" spans="1:46" s="15" customFormat="1" ht="21" customHeight="1" x14ac:dyDescent="0.2">
      <c r="A79" s="12"/>
      <c r="B79" s="13"/>
      <c r="C79" s="14"/>
      <c r="H79" s="18" t="s">
        <v>90</v>
      </c>
      <c r="I79" s="17"/>
      <c r="J79" s="17"/>
      <c r="K79" s="17"/>
      <c r="L79" s="323">
        <f>IF(AH40="x"," ",G3)</f>
        <v>0</v>
      </c>
      <c r="M79" s="323"/>
      <c r="N79" s="323"/>
      <c r="O79" s="323"/>
      <c r="P79" s="324">
        <f>IF(AH40="x"," ",M3)</f>
        <v>0</v>
      </c>
      <c r="Q79" s="324"/>
      <c r="R79" s="324"/>
      <c r="S79" s="324"/>
      <c r="Y79" s="193"/>
      <c r="Z79" s="195"/>
      <c r="AA79" s="195"/>
      <c r="AB79" s="195"/>
      <c r="AC79" s="195"/>
      <c r="AJ79" s="311" t="str">
        <f>IF(OR(G3=0,M3=0)," &lt;--  oben Monat / Jahr eintragen"," ")</f>
        <v xml:space="preserve"> &lt;--  oben Monat / Jahr eintragen</v>
      </c>
      <c r="AK79" s="19"/>
      <c r="AL79" s="19"/>
      <c r="AM79" s="19"/>
      <c r="AN79" s="281"/>
      <c r="AO79" s="21"/>
      <c r="AP79" s="22"/>
      <c r="AQ79" s="19"/>
      <c r="AR79" s="19"/>
      <c r="AS79" s="21"/>
      <c r="AT79" s="21"/>
    </row>
    <row r="80" spans="1:46" ht="6" customHeight="1" x14ac:dyDescent="0.2">
      <c r="A80" s="283"/>
      <c r="B80" s="176"/>
      <c r="C80" s="62"/>
      <c r="D80" s="126"/>
      <c r="E80" s="126"/>
      <c r="F80" s="126"/>
      <c r="G80" s="126"/>
      <c r="H80" s="126"/>
      <c r="I80" s="173"/>
      <c r="J80" s="173"/>
      <c r="K80" s="173"/>
      <c r="L80" s="126"/>
      <c r="M80" s="126"/>
      <c r="N80" s="173"/>
      <c r="O80" s="126"/>
      <c r="P80" s="126"/>
      <c r="Q80" s="173"/>
      <c r="R80" s="173"/>
      <c r="S80" s="126"/>
      <c r="T80" s="126"/>
      <c r="U80" s="126"/>
      <c r="V80" s="126"/>
      <c r="W80" s="126"/>
      <c r="X80" s="126"/>
      <c r="Y80" s="188"/>
      <c r="Z80" s="188"/>
      <c r="AA80" s="188"/>
      <c r="AB80" s="188"/>
      <c r="AC80" s="188"/>
      <c r="AD80" s="126"/>
      <c r="AE80" s="126"/>
      <c r="AF80" s="126"/>
      <c r="AG80" s="126"/>
      <c r="AH80" s="126"/>
      <c r="AI80" s="126"/>
      <c r="AN80" s="45"/>
    </row>
    <row r="81" spans="1:46" x14ac:dyDescent="0.2">
      <c r="AN81" s="45"/>
    </row>
    <row r="82" spans="1:46" s="15" customFormat="1" x14ac:dyDescent="0.2">
      <c r="A82" s="12"/>
      <c r="B82" s="13"/>
      <c r="C82" s="14"/>
      <c r="I82" s="17"/>
      <c r="J82" s="17"/>
      <c r="K82" s="17"/>
      <c r="N82" s="17"/>
      <c r="P82" s="313" t="s">
        <v>91</v>
      </c>
      <c r="Q82" s="17"/>
      <c r="R82" s="17"/>
      <c r="S82" s="314" t="s">
        <v>11</v>
      </c>
      <c r="T82" s="314" t="s">
        <v>12</v>
      </c>
      <c r="Y82" s="293"/>
      <c r="Z82" s="293"/>
      <c r="AA82" s="293"/>
      <c r="AB82" s="293"/>
      <c r="AC82" s="293"/>
      <c r="AK82" s="19"/>
      <c r="AL82" s="19"/>
      <c r="AM82" s="19"/>
      <c r="AN82" s="281"/>
      <c r="AO82" s="21"/>
      <c r="AP82" s="22"/>
      <c r="AQ82" s="19"/>
      <c r="AR82" s="19"/>
      <c r="AS82" s="21"/>
      <c r="AT82" s="21"/>
    </row>
    <row r="83" spans="1:46" ht="6" customHeight="1" x14ac:dyDescent="0.2">
      <c r="P83" s="126"/>
      <c r="Q83" s="173"/>
      <c r="R83" s="173"/>
      <c r="S83" s="315"/>
      <c r="T83" s="315"/>
      <c r="AN83" s="45"/>
    </row>
    <row r="84" spans="1:46" ht="6" customHeight="1" x14ac:dyDescent="0.2">
      <c r="AN84" s="45"/>
    </row>
    <row r="85" spans="1:46" ht="12.75" customHeight="1" x14ac:dyDescent="0.2">
      <c r="A85" s="305" t="s">
        <v>85</v>
      </c>
      <c r="B85" s="285" t="e">
        <f>DATE(P79,C85,1)</f>
        <v>#N/A</v>
      </c>
      <c r="C85" s="286" t="e">
        <f>LOOKUP(G3,Monatsname)</f>
        <v>#N/A</v>
      </c>
      <c r="L85" s="288" t="e">
        <f>IF(AH40="x"," ",C87)</f>
        <v>#N/A</v>
      </c>
      <c r="M85" s="319" t="e">
        <f>IF(AH40="x"," ",YEAR(B87))</f>
        <v>#N/A</v>
      </c>
      <c r="N85" s="319"/>
      <c r="O85" s="319"/>
      <c r="P85" s="316"/>
      <c r="Q85" s="360"/>
      <c r="R85" s="361">
        <f>IF(P85="-",((S85*60)+T85)*(-1),(S85*60)+T85)</f>
        <v>0</v>
      </c>
      <c r="S85" s="289"/>
      <c r="T85" s="289"/>
      <c r="V85" s="317" t="str">
        <f>IF(AND(P85=0,OR(S85&lt;&gt;0,T85&lt;&gt;0))," +/– eintragen"," ")</f>
        <v xml:space="preserve"> </v>
      </c>
      <c r="AN85" s="45"/>
    </row>
    <row r="86" spans="1:46" ht="6" customHeight="1" x14ac:dyDescent="0.2">
      <c r="A86" s="287"/>
      <c r="B86" s="285"/>
      <c r="C86" s="286"/>
      <c r="L86" s="288"/>
      <c r="M86" s="287"/>
      <c r="N86" s="287"/>
      <c r="O86" s="287"/>
      <c r="P86" s="288"/>
      <c r="S86" s="290"/>
      <c r="T86" s="290"/>
      <c r="AN86" s="45"/>
    </row>
    <row r="87" spans="1:46" ht="12.75" customHeight="1" x14ac:dyDescent="0.2">
      <c r="A87" s="305" t="s">
        <v>86</v>
      </c>
      <c r="B87" s="285" t="e">
        <f>B85-1</f>
        <v>#N/A</v>
      </c>
      <c r="C87" s="284" t="e">
        <f>MONTH(B87)</f>
        <v>#N/A</v>
      </c>
      <c r="P87" s="292" t="str">
        <f>IF(V47="–","–",IF(V47="+","+"," "))</f>
        <v xml:space="preserve"> </v>
      </c>
      <c r="R87" s="284" t="str">
        <f>IF(AH40="x",0,IF(V47="–",((W47*60)+X47)*(-1),IF(V47="+",(W47*60)+X47," ")))</f>
        <v xml:space="preserve"> </v>
      </c>
      <c r="S87" s="291">
        <f>W47</f>
        <v>0</v>
      </c>
      <c r="T87" s="291">
        <f>X47</f>
        <v>0</v>
      </c>
      <c r="AN87" s="45"/>
    </row>
    <row r="88" spans="1:46" ht="6" customHeight="1" thickBot="1" x14ac:dyDescent="0.25">
      <c r="AN88" s="45"/>
    </row>
    <row r="89" spans="1:46" s="15" customFormat="1" ht="12.75" customHeight="1" thickTop="1" thickBot="1" x14ac:dyDescent="0.25">
      <c r="A89" s="306" t="s">
        <v>87</v>
      </c>
      <c r="B89" s="13"/>
      <c r="C89" s="14"/>
      <c r="I89" s="17"/>
      <c r="J89" s="17"/>
      <c r="K89" s="17"/>
      <c r="N89" s="17"/>
      <c r="P89" s="294" t="e">
        <f>IF(AND(AF40=0,AH40=0)," ",IF(R89=0," ",IF(R89&lt;0,"–","+")))</f>
        <v>#VALUE!</v>
      </c>
      <c r="Q89" s="282"/>
      <c r="R89" s="282" t="e">
        <f>R85+R87</f>
        <v>#VALUE!</v>
      </c>
      <c r="S89" s="295" t="e">
        <f>IF(AND(AF40=0,AH40=0)," ",IF(R89=0,0,IF(R89&lt;0,INT((R89*(-1))/60),INT(R89/60))))</f>
        <v>#VALUE!</v>
      </c>
      <c r="T89" s="295" t="e">
        <f>IF(AND(AF40=0,AH40=0)," ",IF(R89=0,0,IF(R89&lt;0,MOD((R89*(-1)),60),MOD(R89,60))))</f>
        <v>#VALUE!</v>
      </c>
      <c r="Y89" s="293"/>
      <c r="Z89" s="293"/>
      <c r="AA89" s="293"/>
      <c r="AB89" s="293"/>
      <c r="AC89" s="293"/>
      <c r="AK89" s="19"/>
      <c r="AL89" s="19"/>
      <c r="AM89" s="19"/>
      <c r="AN89" s="281"/>
      <c r="AO89" s="21"/>
      <c r="AP89" s="22"/>
      <c r="AQ89" s="19"/>
      <c r="AR89" s="19"/>
      <c r="AS89" s="21"/>
      <c r="AT89" s="21"/>
    </row>
    <row r="90" spans="1:46" ht="12.75" customHeight="1" thickTop="1" x14ac:dyDescent="0.2">
      <c r="AN90" s="45"/>
    </row>
    <row r="91" spans="1:46" ht="12.75" customHeight="1" x14ac:dyDescent="0.2">
      <c r="AN91" s="45"/>
    </row>
    <row r="92" spans="1:46" ht="12.75" customHeight="1" x14ac:dyDescent="0.2">
      <c r="AN92" s="45"/>
    </row>
    <row r="93" spans="1:46" ht="12.75" customHeight="1" x14ac:dyDescent="0.2">
      <c r="AN93" s="45"/>
    </row>
    <row r="94" spans="1:46" ht="12.75" customHeight="1" x14ac:dyDescent="0.2">
      <c r="AN94" s="45"/>
    </row>
    <row r="95" spans="1:46" ht="12.75" customHeight="1" x14ac:dyDescent="0.2">
      <c r="AN95" s="45"/>
    </row>
    <row r="96" spans="1:46" s="300" customFormat="1" ht="12.75" customHeight="1" x14ac:dyDescent="0.2">
      <c r="A96" s="320" t="str">
        <f>IF(AF40="x","(Datum, Unterschrift der Mitarbeiterin/
 des Mitarbeiters)","")</f>
        <v>(Datum, Unterschrift der Mitarbeiterin/
 des Mitarbeiters)</v>
      </c>
      <c r="B96" s="320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299"/>
      <c r="Q96" s="299"/>
      <c r="R96" s="299"/>
      <c r="S96" s="320" t="str">
        <f>IF(AF40="x","(Datum, Unterschrift der Vertreterin/
 des Vertreters der Dienststelle)"," ")</f>
        <v>(Datum, Unterschrift der Vertreterin/
 des Vertreters der Dienststelle)</v>
      </c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K96" s="301"/>
      <c r="AL96" s="301"/>
      <c r="AM96" s="301"/>
      <c r="AN96" s="302"/>
      <c r="AO96" s="303"/>
      <c r="AP96" s="304"/>
      <c r="AQ96" s="301"/>
      <c r="AR96" s="301"/>
      <c r="AS96" s="303"/>
      <c r="AT96" s="303"/>
    </row>
    <row r="97" spans="1:40" ht="12.75" customHeight="1" x14ac:dyDescent="0.2">
      <c r="A97" s="321"/>
      <c r="B97" s="321"/>
      <c r="C97" s="321"/>
      <c r="D97" s="321"/>
      <c r="E97" s="321"/>
      <c r="F97" s="321"/>
      <c r="G97" s="321"/>
      <c r="H97" s="321"/>
      <c r="I97" s="321"/>
      <c r="J97" s="321"/>
      <c r="K97" s="321"/>
      <c r="L97" s="321"/>
      <c r="M97" s="321"/>
      <c r="S97" s="321"/>
      <c r="T97" s="321"/>
      <c r="U97" s="321"/>
      <c r="V97" s="321"/>
      <c r="W97" s="321"/>
      <c r="X97" s="321"/>
      <c r="Y97" s="321"/>
      <c r="Z97" s="321"/>
      <c r="AA97" s="321"/>
      <c r="AB97" s="321"/>
      <c r="AC97" s="321"/>
      <c r="AD97" s="321"/>
      <c r="AE97" s="321"/>
      <c r="AN97" s="45"/>
    </row>
    <row r="98" spans="1:40" ht="12.75" customHeight="1" x14ac:dyDescent="0.2">
      <c r="AN98" s="45"/>
    </row>
    <row r="99" spans="1:40" ht="12.75" customHeight="1" x14ac:dyDescent="0.2">
      <c r="AN99" s="45"/>
    </row>
    <row r="100" spans="1:40" ht="12.75" customHeight="1" x14ac:dyDescent="0.2">
      <c r="AN100" s="45"/>
    </row>
    <row r="101" spans="1:40" ht="12.75" customHeight="1" x14ac:dyDescent="0.2">
      <c r="AN101" s="45"/>
    </row>
    <row r="102" spans="1:40" ht="12.75" customHeight="1" x14ac:dyDescent="0.2">
      <c r="AN102" s="45"/>
    </row>
    <row r="103" spans="1:40" ht="12.75" customHeight="1" x14ac:dyDescent="0.2">
      <c r="AN103" s="45"/>
    </row>
    <row r="104" spans="1:40" ht="12.75" customHeight="1" x14ac:dyDescent="0.2">
      <c r="AN104" s="45"/>
    </row>
    <row r="105" spans="1:40" ht="12.75" customHeight="1" x14ac:dyDescent="0.2">
      <c r="AK105" s="26"/>
      <c r="AL105" s="27"/>
      <c r="AM105" s="27"/>
      <c r="AN105" s="45"/>
    </row>
    <row r="106" spans="1:40" ht="12.75" customHeight="1" x14ac:dyDescent="0.2">
      <c r="AK106" s="26"/>
      <c r="AL106" s="27"/>
      <c r="AM106" s="27"/>
      <c r="AN106" s="45"/>
    </row>
    <row r="107" spans="1:40" ht="12.75" customHeight="1" x14ac:dyDescent="0.2">
      <c r="AK107" s="26"/>
      <c r="AL107" s="27"/>
      <c r="AM107" s="27"/>
      <c r="AN107" s="45"/>
    </row>
    <row r="108" spans="1:40" ht="12.75" customHeight="1" x14ac:dyDescent="0.2">
      <c r="AK108" s="26"/>
      <c r="AL108" s="27"/>
      <c r="AM108" s="27"/>
      <c r="AN108" s="45"/>
    </row>
    <row r="109" spans="1:40" ht="12.75" customHeight="1" x14ac:dyDescent="0.2">
      <c r="AK109" s="26"/>
      <c r="AL109" s="27"/>
      <c r="AM109" s="27"/>
      <c r="AN109" s="45"/>
    </row>
    <row r="110" spans="1:40" ht="12.75" customHeight="1" x14ac:dyDescent="0.2">
      <c r="AK110" s="26"/>
      <c r="AL110" s="27"/>
      <c r="AM110" s="27"/>
      <c r="AN110" s="45"/>
    </row>
    <row r="111" spans="1:40" ht="12.75" customHeight="1" x14ac:dyDescent="0.2">
      <c r="AK111" s="26"/>
      <c r="AL111" s="27"/>
      <c r="AM111" s="27"/>
      <c r="AN111" s="45"/>
    </row>
    <row r="112" spans="1:40" ht="12.75" customHeight="1" x14ac:dyDescent="0.2">
      <c r="AK112" s="26"/>
      <c r="AL112" s="27"/>
      <c r="AM112" s="27"/>
      <c r="AN112" s="45"/>
    </row>
    <row r="113" spans="37:40" ht="12.75" customHeight="1" x14ac:dyDescent="0.2">
      <c r="AK113" s="26"/>
      <c r="AL113" s="27"/>
      <c r="AM113" s="27"/>
      <c r="AN113" s="45"/>
    </row>
    <row r="114" spans="37:40" ht="12.75" customHeight="1" x14ac:dyDescent="0.2">
      <c r="AK114" s="26"/>
      <c r="AL114" s="27"/>
      <c r="AM114" s="27"/>
      <c r="AN114" s="45"/>
    </row>
    <row r="115" spans="37:40" ht="12.75" customHeight="1" x14ac:dyDescent="0.2">
      <c r="AK115" s="26"/>
      <c r="AL115" s="27"/>
      <c r="AM115" s="27"/>
      <c r="AN115" s="45"/>
    </row>
    <row r="116" spans="37:40" ht="12.75" customHeight="1" x14ac:dyDescent="0.2">
      <c r="AK116" s="26"/>
      <c r="AL116" s="27"/>
      <c r="AM116" s="27"/>
      <c r="AN116" s="45"/>
    </row>
    <row r="117" spans="37:40" ht="12.75" customHeight="1" x14ac:dyDescent="0.2">
      <c r="AK117" s="26"/>
      <c r="AL117" s="27"/>
      <c r="AM117" s="27"/>
      <c r="AN117" s="45"/>
    </row>
    <row r="118" spans="37:40" ht="12.75" customHeight="1" x14ac:dyDescent="0.2">
      <c r="AK118" s="26"/>
      <c r="AL118" s="27"/>
      <c r="AM118" s="27"/>
      <c r="AN118" s="45"/>
    </row>
    <row r="119" spans="37:40" ht="12.75" customHeight="1" x14ac:dyDescent="0.2">
      <c r="AK119" s="26"/>
      <c r="AL119" s="27"/>
      <c r="AM119" s="27"/>
      <c r="AN119" s="45"/>
    </row>
    <row r="120" spans="37:40" ht="12.75" customHeight="1" x14ac:dyDescent="0.2">
      <c r="AK120" s="26"/>
      <c r="AL120" s="27"/>
      <c r="AM120" s="27"/>
      <c r="AN120" s="45"/>
    </row>
    <row r="121" spans="37:40" ht="12.75" customHeight="1" x14ac:dyDescent="0.2">
      <c r="AK121" s="26"/>
      <c r="AL121" s="27"/>
      <c r="AM121" s="27"/>
      <c r="AN121" s="45"/>
    </row>
    <row r="122" spans="37:40" ht="12.75" customHeight="1" x14ac:dyDescent="0.2">
      <c r="AK122" s="26"/>
      <c r="AL122" s="27"/>
      <c r="AM122" s="27"/>
      <c r="AN122" s="45"/>
    </row>
    <row r="123" spans="37:40" ht="12.75" customHeight="1" x14ac:dyDescent="0.2">
      <c r="AK123" s="26"/>
      <c r="AL123" s="27"/>
      <c r="AM123" s="27"/>
      <c r="AN123" s="45"/>
    </row>
    <row r="124" spans="37:40" ht="12.75" customHeight="1" x14ac:dyDescent="0.2">
      <c r="AK124" s="26"/>
      <c r="AL124" s="27"/>
      <c r="AM124" s="27"/>
      <c r="AN124" s="45"/>
    </row>
    <row r="125" spans="37:40" ht="12.75" customHeight="1" x14ac:dyDescent="0.2">
      <c r="AK125" s="26"/>
      <c r="AL125" s="27"/>
      <c r="AM125" s="27"/>
      <c r="AN125" s="45"/>
    </row>
    <row r="126" spans="37:40" ht="12.75" customHeight="1" x14ac:dyDescent="0.2">
      <c r="AK126" s="26"/>
      <c r="AL126" s="27"/>
      <c r="AM126" s="27"/>
      <c r="AN126" s="45"/>
    </row>
    <row r="127" spans="37:40" ht="12.75" customHeight="1" x14ac:dyDescent="0.2">
      <c r="AK127" s="26"/>
      <c r="AL127" s="27"/>
      <c r="AM127" s="27"/>
      <c r="AN127" s="45"/>
    </row>
    <row r="128" spans="37:40" ht="12.75" customHeight="1" x14ac:dyDescent="0.2">
      <c r="AK128" s="26"/>
      <c r="AL128" s="27"/>
      <c r="AM128" s="27"/>
      <c r="AN128" s="45"/>
    </row>
    <row r="129" spans="37:40" ht="12.75" customHeight="1" x14ac:dyDescent="0.2">
      <c r="AK129" s="26"/>
      <c r="AL129" s="27"/>
      <c r="AM129" s="27"/>
      <c r="AN129" s="45"/>
    </row>
    <row r="130" spans="37:40" ht="12.75" customHeight="1" x14ac:dyDescent="0.2">
      <c r="AK130" s="26"/>
      <c r="AL130" s="27"/>
      <c r="AM130" s="27"/>
      <c r="AN130" s="45"/>
    </row>
    <row r="131" spans="37:40" ht="12.75" customHeight="1" x14ac:dyDescent="0.2">
      <c r="AK131" s="26"/>
      <c r="AL131" s="27"/>
      <c r="AM131" s="27"/>
      <c r="AN131" s="45"/>
    </row>
    <row r="132" spans="37:40" ht="12.75" customHeight="1" x14ac:dyDescent="0.2">
      <c r="AK132" s="26"/>
      <c r="AL132" s="27"/>
      <c r="AM132" s="27"/>
      <c r="AN132" s="45"/>
    </row>
    <row r="133" spans="37:40" ht="12.75" customHeight="1" x14ac:dyDescent="0.2">
      <c r="AK133" s="26"/>
      <c r="AL133" s="27"/>
      <c r="AM133" s="27"/>
      <c r="AN133" s="45"/>
    </row>
    <row r="134" spans="37:40" ht="12.75" customHeight="1" x14ac:dyDescent="0.2">
      <c r="AK134" s="26"/>
      <c r="AL134" s="27"/>
      <c r="AM134" s="27"/>
      <c r="AN134" s="45"/>
    </row>
    <row r="135" spans="37:40" ht="12.75" customHeight="1" x14ac:dyDescent="0.2">
      <c r="AK135" s="26"/>
      <c r="AL135" s="27"/>
      <c r="AM135" s="27"/>
      <c r="AN135" s="45"/>
    </row>
    <row r="136" spans="37:40" ht="12.75" customHeight="1" x14ac:dyDescent="0.2">
      <c r="AK136" s="26"/>
      <c r="AL136" s="27"/>
      <c r="AM136" s="27"/>
      <c r="AN136" s="45"/>
    </row>
    <row r="137" spans="37:40" ht="12.75" customHeight="1" x14ac:dyDescent="0.2">
      <c r="AK137" s="26"/>
      <c r="AL137" s="27"/>
      <c r="AM137" s="27"/>
      <c r="AN137" s="45"/>
    </row>
    <row r="138" spans="37:40" ht="12.75" customHeight="1" x14ac:dyDescent="0.2">
      <c r="AK138" s="26"/>
      <c r="AL138" s="27"/>
      <c r="AM138" s="27"/>
      <c r="AN138" s="45"/>
    </row>
    <row r="139" spans="37:40" ht="12.75" customHeight="1" x14ac:dyDescent="0.2">
      <c r="AK139" s="26"/>
      <c r="AL139" s="27"/>
      <c r="AM139" s="27"/>
      <c r="AN139" s="45"/>
    </row>
    <row r="140" spans="37:40" ht="12.75" customHeight="1" x14ac:dyDescent="0.2">
      <c r="AK140" s="26"/>
      <c r="AL140" s="27"/>
      <c r="AM140" s="27"/>
      <c r="AN140" s="45"/>
    </row>
    <row r="141" spans="37:40" ht="12.75" customHeight="1" x14ac:dyDescent="0.2">
      <c r="AK141" s="26"/>
      <c r="AL141" s="27"/>
      <c r="AM141" s="27"/>
      <c r="AN141" s="45"/>
    </row>
    <row r="142" spans="37:40" ht="12.75" customHeight="1" x14ac:dyDescent="0.2">
      <c r="AK142" s="26"/>
      <c r="AL142" s="27"/>
      <c r="AM142" s="27"/>
      <c r="AN142" s="45"/>
    </row>
    <row r="143" spans="37:40" ht="12.75" customHeight="1" x14ac:dyDescent="0.2">
      <c r="AK143" s="26"/>
      <c r="AL143" s="27"/>
      <c r="AM143" s="27"/>
      <c r="AN143" s="45"/>
    </row>
    <row r="144" spans="37:40" ht="12.75" customHeight="1" x14ac:dyDescent="0.2">
      <c r="AK144" s="26"/>
      <c r="AL144" s="27"/>
      <c r="AM144" s="27"/>
      <c r="AN144" s="45"/>
    </row>
    <row r="145" spans="37:40" ht="12.75" customHeight="1" x14ac:dyDescent="0.2">
      <c r="AK145" s="26"/>
      <c r="AL145" s="27"/>
      <c r="AM145" s="27"/>
      <c r="AN145" s="45"/>
    </row>
    <row r="146" spans="37:40" ht="12.75" customHeight="1" x14ac:dyDescent="0.2">
      <c r="AK146" s="26"/>
      <c r="AL146" s="27"/>
      <c r="AM146" s="27"/>
      <c r="AN146" s="45"/>
    </row>
    <row r="147" spans="37:40" ht="12.75" customHeight="1" x14ac:dyDescent="0.2">
      <c r="AK147" s="26"/>
      <c r="AL147" s="27"/>
      <c r="AM147" s="27"/>
      <c r="AN147" s="45"/>
    </row>
    <row r="148" spans="37:40" ht="12.75" customHeight="1" x14ac:dyDescent="0.2">
      <c r="AK148" s="26"/>
      <c r="AL148" s="27"/>
      <c r="AM148" s="27"/>
      <c r="AN148" s="45"/>
    </row>
    <row r="149" spans="37:40" ht="12.75" customHeight="1" x14ac:dyDescent="0.2">
      <c r="AK149" s="26"/>
      <c r="AL149" s="27"/>
      <c r="AM149" s="27"/>
      <c r="AN149" s="45"/>
    </row>
    <row r="150" spans="37:40" ht="12.75" customHeight="1" x14ac:dyDescent="0.2">
      <c r="AK150" s="26"/>
      <c r="AL150" s="27"/>
      <c r="AM150" s="27"/>
      <c r="AN150" s="45"/>
    </row>
    <row r="151" spans="37:40" ht="12.75" customHeight="1" x14ac:dyDescent="0.2">
      <c r="AK151" s="26"/>
      <c r="AL151" s="27"/>
      <c r="AM151" s="27"/>
      <c r="AN151" s="45"/>
    </row>
    <row r="152" spans="37:40" ht="12.75" customHeight="1" x14ac:dyDescent="0.2">
      <c r="AK152" s="26"/>
      <c r="AL152" s="27"/>
      <c r="AM152" s="27"/>
      <c r="AN152" s="45"/>
    </row>
    <row r="153" spans="37:40" ht="12.75" customHeight="1" x14ac:dyDescent="0.2">
      <c r="AK153" s="26"/>
      <c r="AL153" s="27"/>
      <c r="AM153" s="27"/>
      <c r="AN153" s="45"/>
    </row>
    <row r="154" spans="37:40" ht="12.75" customHeight="1" x14ac:dyDescent="0.2">
      <c r="AK154" s="26"/>
      <c r="AL154" s="27"/>
      <c r="AM154" s="27"/>
      <c r="AN154" s="45"/>
    </row>
    <row r="155" spans="37:40" ht="12.75" customHeight="1" x14ac:dyDescent="0.2">
      <c r="AK155" s="26"/>
      <c r="AL155" s="27"/>
      <c r="AM155" s="27"/>
      <c r="AN155" s="45"/>
    </row>
    <row r="156" spans="37:40" ht="12.75" customHeight="1" x14ac:dyDescent="0.2">
      <c r="AK156" s="26"/>
      <c r="AL156" s="27"/>
      <c r="AM156" s="27"/>
      <c r="AN156" s="45"/>
    </row>
    <row r="157" spans="37:40" ht="12.75" customHeight="1" x14ac:dyDescent="0.2">
      <c r="AK157" s="26"/>
      <c r="AL157" s="27"/>
      <c r="AM157" s="27"/>
      <c r="AN157" s="45"/>
    </row>
    <row r="158" spans="37:40" ht="12.75" customHeight="1" x14ac:dyDescent="0.2">
      <c r="AK158" s="26"/>
      <c r="AL158" s="27"/>
      <c r="AM158" s="27"/>
      <c r="AN158" s="45"/>
    </row>
    <row r="159" spans="37:40" ht="12.75" customHeight="1" x14ac:dyDescent="0.2">
      <c r="AK159" s="26"/>
      <c r="AL159" s="27"/>
      <c r="AM159" s="27"/>
      <c r="AN159" s="45"/>
    </row>
    <row r="160" spans="37:40" ht="12.75" customHeight="1" x14ac:dyDescent="0.2">
      <c r="AK160" s="26"/>
      <c r="AL160" s="27"/>
      <c r="AM160" s="27"/>
      <c r="AN160" s="45"/>
    </row>
    <row r="161" spans="37:40" ht="12.75" customHeight="1" x14ac:dyDescent="0.2">
      <c r="AK161" s="26"/>
      <c r="AL161" s="27"/>
      <c r="AM161" s="27"/>
      <c r="AN161" s="45"/>
    </row>
    <row r="162" spans="37:40" ht="12.75" customHeight="1" x14ac:dyDescent="0.2">
      <c r="AK162" s="26"/>
      <c r="AL162" s="27"/>
      <c r="AM162" s="27"/>
      <c r="AN162" s="45"/>
    </row>
    <row r="163" spans="37:40" ht="12.75" customHeight="1" x14ac:dyDescent="0.2">
      <c r="AK163" s="26"/>
      <c r="AL163" s="27"/>
      <c r="AM163" s="27"/>
      <c r="AN163" s="45"/>
    </row>
    <row r="164" spans="37:40" ht="12.75" customHeight="1" x14ac:dyDescent="0.2">
      <c r="AK164" s="26"/>
      <c r="AL164" s="27"/>
      <c r="AM164" s="27"/>
      <c r="AN164" s="45"/>
    </row>
    <row r="165" spans="37:40" ht="12.75" customHeight="1" x14ac:dyDescent="0.2">
      <c r="AK165" s="26"/>
      <c r="AL165" s="27"/>
      <c r="AM165" s="27"/>
      <c r="AN165" s="45"/>
    </row>
    <row r="166" spans="37:40" ht="12.75" customHeight="1" x14ac:dyDescent="0.2">
      <c r="AK166" s="26"/>
      <c r="AL166" s="27"/>
      <c r="AM166" s="27"/>
      <c r="AN166" s="45"/>
    </row>
    <row r="167" spans="37:40" ht="12.75" customHeight="1" x14ac:dyDescent="0.2">
      <c r="AK167" s="26"/>
      <c r="AL167" s="27"/>
      <c r="AM167" s="27"/>
      <c r="AN167" s="45"/>
    </row>
    <row r="168" spans="37:40" ht="12.75" customHeight="1" x14ac:dyDescent="0.2">
      <c r="AK168" s="26"/>
      <c r="AL168" s="27"/>
      <c r="AM168" s="27"/>
      <c r="AN168" s="45"/>
    </row>
  </sheetData>
  <sheetProtection algorithmName="SHA-512" hashValue="mfCIqfTXwpzvlaG/A/SR8mIXl72zCIyIiebTvHl2/QE9bSs66SKh1L/wMu+65R7IuQuBZf9EWc+Evm4iXorfCg==" saltValue="zm5lRssXvVfUHAM8utHrNQ==" spinCount="100000" sheet="1" objects="1" scenarios="1"/>
  <mergeCells count="34">
    <mergeCell ref="M3:O3"/>
    <mergeCell ref="V3:AI3"/>
    <mergeCell ref="AF32:AG32"/>
    <mergeCell ref="AD32:AE32"/>
    <mergeCell ref="D5:U5"/>
    <mergeCell ref="V5:W5"/>
    <mergeCell ref="AE5:AH5"/>
    <mergeCell ref="V10:AI14"/>
    <mergeCell ref="S8:T10"/>
    <mergeCell ref="G3:L3"/>
    <mergeCell ref="O10:P13"/>
    <mergeCell ref="L10:M10"/>
    <mergeCell ref="G10:H10"/>
    <mergeCell ref="A15:D15"/>
    <mergeCell ref="E10:F10"/>
    <mergeCell ref="AD6:AD8"/>
    <mergeCell ref="AE6:AF8"/>
    <mergeCell ref="AG6:AH8"/>
    <mergeCell ref="AD36:AE36"/>
    <mergeCell ref="AF36:AG36"/>
    <mergeCell ref="M85:O85"/>
    <mergeCell ref="A96:M97"/>
    <mergeCell ref="S96:AE97"/>
    <mergeCell ref="V17:AI22"/>
    <mergeCell ref="V23:AI27"/>
    <mergeCell ref="L79:O79"/>
    <mergeCell ref="P79:S79"/>
    <mergeCell ref="AD50:AE50"/>
    <mergeCell ref="AE38:AI39"/>
    <mergeCell ref="A75:AI75"/>
    <mergeCell ref="AF50:AG50"/>
    <mergeCell ref="V69:AI73"/>
    <mergeCell ref="V57:AI58"/>
    <mergeCell ref="V41:AI43"/>
  </mergeCells>
  <phoneticPr fontId="0" type="noConversion"/>
  <printOptions horizontalCentered="1"/>
  <pageMargins left="0.78740157480314965" right="0.39370078740157483" top="0.59055118110236227" bottom="0.59055118110236227" header="0.26" footer="0.47244094488188981"/>
  <pageSetup paperSize="9" orientation="portrait" blackAndWhite="1" horizontalDpi="300" verticalDpi="300" r:id="rId1"/>
  <headerFooter alignWithMargins="0">
    <oddHeader xml:space="preserve">&amp;L&amp;"Arial,Standard"&amp;K00-049Anlage 2&amp;C
</oddHeader>
  </headerFooter>
  <rowBreaks count="1" manualBreakCount="1">
    <brk id="76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ARBEITSZ</vt:lpstr>
      <vt:lpstr>ARBEITSZ!Druckbereich</vt:lpstr>
      <vt:lpstr>Monat</vt:lpstr>
      <vt:lpstr>Monatslänge</vt:lpstr>
      <vt:lpstr>Monatsname</vt:lpstr>
      <vt:lpstr>Wochentag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MiLoG Arbeitszeitaufzeichnung</dc:subject>
  <dc:creator>Axel.Klus@evlka.de</dc:creator>
  <cp:lastModifiedBy>Moldenhauer, Corinna</cp:lastModifiedBy>
  <cp:lastPrinted>2015-02-27T12:52:25Z</cp:lastPrinted>
  <dcterms:created xsi:type="dcterms:W3CDTF">2015-01-05T11:03:38Z</dcterms:created>
  <dcterms:modified xsi:type="dcterms:W3CDTF">2024-11-27T11:01:29Z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COO.2122.100.2.1420827</vt:lpwstr>
  </property>
  <property fmtid="{D5CDD505-2E9C-101B-9397-08002B2CF9AE}" pid="3" name="FSC#COOELAK@1.1001:Subject">
    <vt:lpwstr>MiLoG - Arbeitszeit - Aufzeichnung u Konto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Klus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MAB (Mitarbeiterbüro)</vt:lpwstr>
  </property>
  <property fmtid="{D5CDD505-2E9C-101B-9397-08002B2CF9AE}" pid="17" name="FSC#COOELAK@1.1001:CreatedAt">
    <vt:lpwstr>05.01.2015</vt:lpwstr>
  </property>
  <property fmtid="{D5CDD505-2E9C-101B-9397-08002B2CF9AE}" pid="18" name="FSC#COOELAK@1.1001:OU">
    <vt:lpwstr>MAB (Mitarbeiterbüro)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*COO.2122.100.2.1420827*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COOELAK@1.1001:CurrentUserRolePos">
    <vt:lpwstr>Sachbearbeiter/-in</vt:lpwstr>
  </property>
  <property fmtid="{D5CDD505-2E9C-101B-9397-08002B2CF9AE}" pid="37" name="FSC#COOELAK@1.1001:CurrentUserEmail">
    <vt:lpwstr>Axel.Klus@evlka.de</vt:lpwstr>
  </property>
  <property fmtid="{D5CDD505-2E9C-101B-9397-08002B2CF9AE}" pid="38" name="FSC#ELAKGOV@1.1001:PersonalSubjGender">
    <vt:lpwstr/>
  </property>
  <property fmtid="{D5CDD505-2E9C-101B-9397-08002B2CF9AE}" pid="39" name="FSC#ELAKGOV@1.1001:PersonalSubjFirstName">
    <vt:lpwstr/>
  </property>
  <property fmtid="{D5CDD505-2E9C-101B-9397-08002B2CF9AE}" pid="40" name="FSC#ELAKGOV@1.1001:PersonalSubjSurName">
    <vt:lpwstr/>
  </property>
  <property fmtid="{D5CDD505-2E9C-101B-9397-08002B2CF9AE}" pid="41" name="FSC#ELAKGOV@1.1001:PersonalSubjSalutation">
    <vt:lpwstr/>
  </property>
  <property fmtid="{D5CDD505-2E9C-101B-9397-08002B2CF9AE}" pid="42" name="FSC#ELAKGOV@1.1001:PersonalSubjAddress">
    <vt:lpwstr/>
  </property>
  <property fmtid="{D5CDD505-2E9C-101B-9397-08002B2CF9AE}" pid="43" name="FSC#FSCGOVDE@1.1001:FileRefOUEmail">
    <vt:lpwstr/>
  </property>
  <property fmtid="{D5CDD505-2E9C-101B-9397-08002B2CF9AE}" pid="44" name="FSC#FSCGOVDE@1.1001:ProcedureReference">
    <vt:lpwstr/>
  </property>
  <property fmtid="{D5CDD505-2E9C-101B-9397-08002B2CF9AE}" pid="45" name="FSC#FSCGOVDE@1.1001:FileSubject">
    <vt:lpwstr/>
  </property>
  <property fmtid="{D5CDD505-2E9C-101B-9397-08002B2CF9AE}" pid="46" name="FSC#FSCGOVDE@1.1001:ProcedureSubject">
    <vt:lpwstr/>
  </property>
  <property fmtid="{D5CDD505-2E9C-101B-9397-08002B2CF9AE}" pid="47" name="FSC#FSCGOVDE@1.1001:SignFinalVersionBy">
    <vt:lpwstr/>
  </property>
  <property fmtid="{D5CDD505-2E9C-101B-9397-08002B2CF9AE}" pid="48" name="FSC#FSCGOVDE@1.1001:SignFinalVersionAt">
    <vt:lpwstr/>
  </property>
  <property fmtid="{D5CDD505-2E9C-101B-9397-08002B2CF9AE}" pid="49" name="FSC#FSCGOVDE@1.1001:ProcedureRefBarCode">
    <vt:lpwstr/>
  </property>
  <property fmtid="{D5CDD505-2E9C-101B-9397-08002B2CF9AE}" pid="50" name="FSC#FSCGOVDE@1.1001:FileAddSubj">
    <vt:lpwstr/>
  </property>
  <property fmtid="{D5CDD505-2E9C-101B-9397-08002B2CF9AE}" pid="51" name="FSC#FSCGOVDE@1.1001:DocumentSubj">
    <vt:lpwstr/>
  </property>
  <property fmtid="{D5CDD505-2E9C-101B-9397-08002B2CF9AE}" pid="52" name="FSC#FSCGOVDE@1.1001:FileRel">
    <vt:lpwstr/>
  </property>
</Properties>
</file>